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inamazza/Documents/Documents - Gina’s MacBook Pro/"/>
    </mc:Choice>
  </mc:AlternateContent>
  <xr:revisionPtr revIDLastSave="0" documentId="8_{B8DD5D32-9345-814A-83C3-6B211D677C1B}" xr6:coauthVersionLast="47" xr6:coauthVersionMax="47" xr10:uidLastSave="{00000000-0000-0000-0000-000000000000}"/>
  <workbookProtection workbookAlgorithmName="SHA-512" workbookHashValue="hK6NI0BS3Qpm1jxmXSpxnkUkUDdviBz/sJB23ZdIKgiLk9A6w4IzluTRhj17A/OtkVQPuwFxfsMEuFrqrTv8HA==" workbookSaltValue="Fy81gHexbhPpOZ1Y6GKNmw==" workbookSpinCount="100000" lockStructure="1"/>
  <bookViews>
    <workbookView xWindow="1880" yWindow="4000" windowWidth="22660" windowHeight="20560" xr2:uid="{00000000-000D-0000-FFFF-FFFF00000000}"/>
  </bookViews>
  <sheets>
    <sheet name="Hire or Develop Calculator" sheetId="13" r:id="rId1"/>
    <sheet name="Inputs" sheetId="16" state="hidden" r:id="rId2"/>
    <sheet name="Detailed Analysis" sheetId="17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3" l="1"/>
  <c r="E33" i="13"/>
  <c r="E32" i="13"/>
  <c r="E31" i="13"/>
  <c r="E30" i="13"/>
  <c r="E29" i="13"/>
  <c r="E28" i="13"/>
  <c r="E27" i="13"/>
  <c r="E26" i="13"/>
  <c r="E25" i="13"/>
  <c r="C20" i="16"/>
  <c r="H19" i="13"/>
  <c r="G19" i="13"/>
  <c r="H17" i="13"/>
  <c r="G17" i="13"/>
  <c r="H16" i="13"/>
  <c r="G16" i="13"/>
  <c r="D33" i="17"/>
  <c r="D26" i="17"/>
  <c r="F6" i="16"/>
  <c r="E6" i="16"/>
  <c r="C7" i="16"/>
  <c r="C5" i="16"/>
  <c r="C22" i="16" l="1"/>
  <c r="C23" i="16" s="1"/>
  <c r="C12" i="16"/>
  <c r="C10" i="16"/>
  <c r="H18" i="13"/>
  <c r="H20" i="13" s="1"/>
  <c r="G18" i="13"/>
  <c r="G20" i="13" s="1"/>
  <c r="D9" i="17"/>
  <c r="F7" i="16"/>
  <c r="F8" i="16" s="1"/>
  <c r="F9" i="16" s="1"/>
  <c r="F10" i="16" s="1"/>
  <c r="F11" i="16" s="1"/>
  <c r="E7" i="16"/>
  <c r="D24" i="17"/>
  <c r="D7" i="17"/>
  <c r="D6" i="17"/>
  <c r="E8" i="16"/>
  <c r="E9" i="16" s="1"/>
  <c r="C21" i="16"/>
  <c r="C6" i="16"/>
  <c r="C11" i="16" s="1"/>
  <c r="E10" i="16" l="1"/>
  <c r="E11" i="16" s="1"/>
  <c r="E12" i="16" s="1"/>
  <c r="E13" i="16" s="1"/>
  <c r="E14" i="16" s="1"/>
  <c r="E15" i="16" s="1"/>
  <c r="E16" i="16" s="1"/>
  <c r="E17" i="16" s="1"/>
  <c r="D8" i="17"/>
  <c r="C13" i="16"/>
  <c r="E23" i="13"/>
  <c r="F12" i="16"/>
  <c r="F13" i="16" s="1"/>
  <c r="F14" i="16" s="1"/>
  <c r="F15" i="16" s="1"/>
  <c r="F16" i="16" s="1"/>
  <c r="F17" i="16" s="1"/>
  <c r="F18" i="16" s="1"/>
  <c r="F19" i="16" s="1"/>
  <c r="F20" i="16" s="1"/>
  <c r="F21" i="16" s="1"/>
  <c r="F22" i="16" s="1"/>
  <c r="F23" i="16" s="1"/>
  <c r="F24" i="16" s="1"/>
  <c r="F25" i="16" s="1"/>
  <c r="F26" i="16" s="1"/>
  <c r="F27" i="16" s="1"/>
  <c r="F28" i="16" s="1"/>
  <c r="F29" i="16" s="1"/>
  <c r="F30" i="16" s="1"/>
  <c r="F31" i="16" s="1"/>
  <c r="F32" i="16" s="1"/>
  <c r="F33" i="16" s="1"/>
  <c r="F34" i="16" s="1"/>
  <c r="F35" i="16" s="1"/>
  <c r="E26" i="17"/>
  <c r="E24" i="17"/>
  <c r="E9" i="17"/>
  <c r="E6" i="17"/>
  <c r="D10" i="17" l="1"/>
  <c r="D19" i="17" s="1"/>
  <c r="G5" i="13" s="1"/>
  <c r="E18" i="16"/>
  <c r="E19" i="16" s="1"/>
  <c r="E20" i="16" s="1"/>
  <c r="E21" i="16" s="1"/>
  <c r="E22" i="16" s="1"/>
  <c r="E23" i="16" s="1"/>
  <c r="E24" i="16" s="1"/>
  <c r="E8" i="17"/>
  <c r="E30" i="17"/>
  <c r="E13" i="17"/>
  <c r="E32" i="17"/>
  <c r="E16" i="17"/>
  <c r="E14" i="17"/>
  <c r="E25" i="16" l="1"/>
  <c r="E26" i="16" s="1"/>
  <c r="E27" i="16" s="1"/>
  <c r="E28" i="16" s="1"/>
  <c r="E29" i="16" s="1"/>
  <c r="E30" i="16" s="1"/>
  <c r="E31" i="16" s="1"/>
  <c r="E32" i="16" s="1"/>
  <c r="E33" i="16" s="1"/>
  <c r="E34" i="16" s="1"/>
  <c r="E35" i="16" s="1"/>
  <c r="E36" i="16" s="1"/>
  <c r="E37" i="16" s="1"/>
  <c r="E38" i="16" s="1"/>
  <c r="E39" i="16" s="1"/>
  <c r="E40" i="16" s="1"/>
  <c r="E41" i="16" s="1"/>
  <c r="E42" i="16" s="1"/>
  <c r="E43" i="16" s="1"/>
  <c r="E44" i="16" s="1"/>
  <c r="E45" i="16" s="1"/>
  <c r="E46" i="16" s="1"/>
  <c r="E47" i="16" s="1"/>
  <c r="E48" i="16" s="1"/>
  <c r="E49" i="16" s="1"/>
  <c r="E50" i="16" s="1"/>
  <c r="E51" i="16" s="1"/>
  <c r="E52" i="16" s="1"/>
  <c r="E53" i="16" s="1"/>
  <c r="E54" i="16" s="1"/>
  <c r="E55" i="16" s="1"/>
  <c r="E56" i="16" s="1"/>
  <c r="E57" i="16" s="1"/>
  <c r="E58" i="16" s="1"/>
  <c r="E59" i="16" s="1"/>
  <c r="E60" i="16" s="1"/>
  <c r="E61" i="16" s="1"/>
  <c r="E62" i="16" s="1"/>
  <c r="E63" i="16" s="1"/>
  <c r="E64" i="16" s="1"/>
  <c r="E65" i="16" s="1"/>
  <c r="E66" i="16" s="1"/>
  <c r="E67" i="16" s="1"/>
  <c r="E68" i="16" s="1"/>
  <c r="E69" i="16" s="1"/>
  <c r="E70" i="16" s="1"/>
  <c r="E71" i="16" s="1"/>
  <c r="E72" i="16" s="1"/>
  <c r="E73" i="16" s="1"/>
  <c r="E74" i="16" s="1"/>
  <c r="E75" i="16" s="1"/>
  <c r="E76" i="16" s="1"/>
  <c r="E77" i="16" s="1"/>
  <c r="E78" i="16" s="1"/>
  <c r="E79" i="16" s="1"/>
  <c r="E31" i="17"/>
  <c r="E15" i="17"/>
  <c r="E25" i="17"/>
  <c r="E27" i="17" s="1"/>
  <c r="D25" i="17"/>
  <c r="D27" i="17" s="1"/>
  <c r="D35" i="17" s="1"/>
  <c r="G6" i="13" s="1"/>
  <c r="G7" i="13" s="1"/>
  <c r="E10" i="17"/>
  <c r="E17" i="17" l="1"/>
  <c r="E33" i="17"/>
  <c r="E19" i="17" l="1"/>
  <c r="E35" i="17"/>
  <c r="H5" i="13" l="1"/>
  <c r="D20" i="17"/>
  <c r="H6" i="13"/>
  <c r="D36" i="17"/>
  <c r="H7" i="13" l="1"/>
  <c r="G10" i="13" l="1"/>
  <c r="E13" i="13"/>
  <c r="H10" i="13"/>
</calcChain>
</file>

<file path=xl/sharedStrings.xml><?xml version="1.0" encoding="utf-8"?>
<sst xmlns="http://schemas.openxmlformats.org/spreadsheetml/2006/main" count="87" uniqueCount="71">
  <si>
    <t>External Hire</t>
  </si>
  <si>
    <t>Internal Hire</t>
  </si>
  <si>
    <t>PRIMARY ROLE</t>
  </si>
  <si>
    <t>Efficiency During Onboarding - External</t>
  </si>
  <si>
    <t>Efficiency During Onboarding - Internal</t>
  </si>
  <si>
    <t>BACKFILL ROLE (If Internal Hire)</t>
  </si>
  <si>
    <t>MULTI-YEAR ASSUMPTIONS</t>
  </si>
  <si>
    <t>Annual Raise %</t>
  </si>
  <si>
    <t>Backfill Annual Raise %</t>
  </si>
  <si>
    <t>Backfill Salary</t>
  </si>
  <si>
    <t>YEAR 1 TOTAL COSTS</t>
  </si>
  <si>
    <t>Year 1 Difference (External - Internal)</t>
  </si>
  <si>
    <t>YEAR 1 ANALYSIS</t>
  </si>
  <si>
    <t>YEAR 2 ANALYSIS (Ongoing Costs)</t>
  </si>
  <si>
    <t>YEAR 2 TOTAL COSTS</t>
  </si>
  <si>
    <t>Year 1 Total</t>
  </si>
  <si>
    <t>Year 2 Total</t>
  </si>
  <si>
    <t>2-YEAR GRAND TOTAL</t>
  </si>
  <si>
    <t>📝 INPUTS (Edit Yellow Cells)</t>
  </si>
  <si>
    <t>Backfill Efficiency During Onboarding</t>
  </si>
  <si>
    <t>Year 2 Difference (External - Internal)</t>
  </si>
  <si>
    <t>💡 RECOMMENDATION</t>
  </si>
  <si>
    <t>💡 PRODUCTIVITY INSIGHT</t>
  </si>
  <si>
    <t>🎯 SUMMARY OF RESULTS</t>
  </si>
  <si>
    <t>💰 2-YEAR COST SUMMARY</t>
  </si>
  <si>
    <t>💵 TOTAL 2-YEAR SAVINGS</t>
  </si>
  <si>
    <t>⏱️ PRODUCTIVITY TIMELINE</t>
  </si>
  <si>
    <t>📊 DETAILED ANALYSIS</t>
  </si>
  <si>
    <t>Primary Role Costs</t>
  </si>
  <si>
    <t xml:space="preserve">  Annual Salary</t>
  </si>
  <si>
    <t xml:space="preserve">  Recruiting Fee</t>
  </si>
  <si>
    <t xml:space="preserve">  Subtotal - Primary Role</t>
  </si>
  <si>
    <t xml:space="preserve">  Backfill Recruiting Fee</t>
  </si>
  <si>
    <t xml:space="preserve">  Net Backfill Cost</t>
  </si>
  <si>
    <t>Primary Role</t>
  </si>
  <si>
    <t xml:space="preserve">  Year 2 Salary (with raise)</t>
  </si>
  <si>
    <t>Backfill Role</t>
  </si>
  <si>
    <t>Onboarding Months - External</t>
  </si>
  <si>
    <t>Onboarding Months - Internal</t>
  </si>
  <si>
    <t>Backfill Recruiting Fee (%)</t>
  </si>
  <si>
    <t>Backfill Onboarding Months</t>
  </si>
  <si>
    <t>Savings Amount</t>
  </si>
  <si>
    <t>MAX Time to Full Productivity</t>
  </si>
  <si>
    <t xml:space="preserve">  Year 1 Training Costs</t>
  </si>
  <si>
    <t xml:space="preserve">  Year 2 Training Costs</t>
  </si>
  <si>
    <t>Year 1 Training - External</t>
  </si>
  <si>
    <t>Year 1 Training - Internal</t>
  </si>
  <si>
    <t>Year 2 Training - External</t>
  </si>
  <si>
    <t>Year 2 Training - Internal</t>
  </si>
  <si>
    <t>Year 1 Backfill Training</t>
  </si>
  <si>
    <t>Year 2 Backfill Training</t>
  </si>
  <si>
    <t xml:space="preserve">  Year 1 Onboarding Loss</t>
  </si>
  <si>
    <t xml:space="preserve">  Year 1 Backfill Training</t>
  </si>
  <si>
    <t xml:space="preserve">  Year 1 Backfill Onboarding Loss</t>
  </si>
  <si>
    <t xml:space="preserve">  Year 2 Backfill Training</t>
  </si>
  <si>
    <t>Primary Role - Time to Fill</t>
  </si>
  <si>
    <t>Primary Role - Onboarding</t>
  </si>
  <si>
    <t>Primary Role Total (months)</t>
  </si>
  <si>
    <t>Backfill Total (months)</t>
  </si>
  <si>
    <t xml:space="preserve">  Year 2 Onboarding</t>
  </si>
  <si>
    <t xml:space="preserve">  Year 2 Backfill Onboarding</t>
  </si>
  <si>
    <t>Recruiting Fee (% of External Hire Salary)</t>
  </si>
  <si>
    <t>Time to Fill Role (months)</t>
  </si>
  <si>
    <t>External Hire Salary (Annual)</t>
  </si>
  <si>
    <t>Internal Hire Salary (Annual)</t>
  </si>
  <si>
    <t>Backfill Costs</t>
  </si>
  <si>
    <t xml:space="preserve">  Salary Savings</t>
  </si>
  <si>
    <t xml:space="preserve">  Backfill Salary Diff (vs Original Internal)</t>
  </si>
  <si>
    <t>Salary</t>
  </si>
  <si>
    <t>Recruiting Fee</t>
  </si>
  <si>
    <t>Training Cost (Percentage of Annual Salary)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</si>
</sst>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4"/>
      <color rgb="FFFFFFFF"/>
      <name val="Aptos Narrow"/>
      <family val="2"/>
      <scheme val="minor"/>
    </font>
    <font>
      <b/>
      <sz val="11"/>
      <color rgb="FF2E5339"/>
      <name val="Aptos Narrow"/>
      <family val="2"/>
      <scheme val="minor"/>
    </font>
    <font>
      <sz val="7"/>
      <color theme="1"/>
      <name val="Aptos Narrow"/>
      <family val="2"/>
      <scheme val="minor"/>
    </font>
    <font>
      <i/>
      <sz val="9"/>
      <name val="Aptos Narrow"/>
      <family val="2"/>
      <scheme val="minor"/>
    </font>
    <font>
      <sz val="9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2E5339"/>
        <bgColor indexed="64"/>
      </patternFill>
    </fill>
    <fill>
      <patternFill patternType="solid">
        <fgColor rgb="FFF5F2ED"/>
        <bgColor indexed="64"/>
      </patternFill>
    </fill>
    <fill>
      <patternFill patternType="solid">
        <fgColor rgb="FF4A7C59"/>
        <bgColor indexed="64"/>
      </patternFill>
    </fill>
    <fill>
      <patternFill patternType="solid">
        <fgColor rgb="FFFFF8DC"/>
        <bgColor indexed="64"/>
      </patternFill>
    </fill>
    <fill>
      <patternFill patternType="solid">
        <fgColor rgb="FFE8E0D5"/>
        <bgColor indexed="64"/>
      </patternFill>
    </fill>
    <fill>
      <patternFill patternType="solid">
        <fgColor rgb="FFD4C9B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2E5339"/>
      </bottom>
      <diagonal/>
    </border>
    <border>
      <left/>
      <right/>
      <top style="thin">
        <color rgb="FF2E5339"/>
      </top>
      <bottom/>
      <diagonal/>
    </border>
    <border>
      <left style="thin">
        <color rgb="FF2E5339"/>
      </left>
      <right/>
      <top/>
      <bottom/>
      <diagonal/>
    </border>
    <border>
      <left/>
      <right style="thin">
        <color rgb="FF2E5339"/>
      </right>
      <top/>
      <bottom/>
      <diagonal/>
    </border>
    <border>
      <left style="thin">
        <color rgb="FF2E5339"/>
      </left>
      <right/>
      <top style="thin">
        <color rgb="FF2E5339"/>
      </top>
      <bottom/>
      <diagonal/>
    </border>
    <border>
      <left style="thin">
        <color rgb="FF2E5339"/>
      </left>
      <right/>
      <top/>
      <bottom style="thin">
        <color rgb="FF2E5339"/>
      </bottom>
      <diagonal/>
    </border>
    <border>
      <left/>
      <right style="thin">
        <color rgb="FF2E5339"/>
      </right>
      <top style="thin">
        <color rgb="FF2E5339"/>
      </top>
      <bottom/>
      <diagonal/>
    </border>
    <border>
      <left/>
      <right style="thin">
        <color rgb="FF2E5339"/>
      </right>
      <top/>
      <bottom style="thin">
        <color rgb="FF2E5339"/>
      </bottom>
      <diagonal/>
    </border>
    <border>
      <left/>
      <right style="thin">
        <color rgb="FFD4C9B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3" borderId="0" xfId="0" applyFill="1"/>
    <xf numFmtId="0" fontId="2" fillId="4" borderId="0" xfId="0" applyFont="1" applyFill="1"/>
    <xf numFmtId="0" fontId="0" fillId="3" borderId="3" xfId="0" applyFill="1" applyBorder="1"/>
    <xf numFmtId="0" fontId="0" fillId="3" borderId="4" xfId="0" applyFill="1" applyBorder="1"/>
    <xf numFmtId="0" fontId="2" fillId="4" borderId="4" xfId="0" applyFont="1" applyFill="1" applyBorder="1"/>
    <xf numFmtId="164" fontId="0" fillId="6" borderId="0" xfId="0" applyNumberFormat="1" applyFill="1"/>
    <xf numFmtId="0" fontId="1" fillId="7" borderId="0" xfId="0" applyFont="1" applyFill="1"/>
    <xf numFmtId="164" fontId="1" fillId="7" borderId="0" xfId="0" applyNumberFormat="1" applyFont="1" applyFill="1"/>
    <xf numFmtId="164" fontId="2" fillId="2" borderId="0" xfId="0" applyNumberFormat="1" applyFont="1" applyFill="1"/>
    <xf numFmtId="0" fontId="0" fillId="6" borderId="0" xfId="0" applyFill="1"/>
    <xf numFmtId="164" fontId="0" fillId="6" borderId="4" xfId="0" applyNumberFormat="1" applyFill="1" applyBorder="1"/>
    <xf numFmtId="164" fontId="1" fillId="7" borderId="4" xfId="0" applyNumberFormat="1" applyFont="1" applyFill="1" applyBorder="1"/>
    <xf numFmtId="0" fontId="0" fillId="6" borderId="4" xfId="0" applyFill="1" applyBorder="1"/>
    <xf numFmtId="0" fontId="1" fillId="7" borderId="4" xfId="0" applyFont="1" applyFill="1" applyBorder="1"/>
    <xf numFmtId="164" fontId="1" fillId="6" borderId="0" xfId="0" applyNumberFormat="1" applyFont="1" applyFill="1"/>
    <xf numFmtId="164" fontId="1" fillId="6" borderId="4" xfId="0" applyNumberFormat="1" applyFont="1" applyFill="1" applyBorder="1"/>
    <xf numFmtId="164" fontId="2" fillId="2" borderId="4" xfId="0" applyNumberFormat="1" applyFont="1" applyFill="1" applyBorder="1"/>
    <xf numFmtId="164" fontId="0" fillId="5" borderId="0" xfId="0" applyNumberFormat="1" applyFill="1"/>
    <xf numFmtId="9" fontId="0" fillId="5" borderId="0" xfId="0" applyNumberFormat="1" applyFill="1"/>
    <xf numFmtId="9" fontId="0" fillId="5" borderId="1" xfId="0" applyNumberFormat="1" applyFill="1" applyBorder="1"/>
    <xf numFmtId="0" fontId="0" fillId="0" borderId="3" xfId="0" applyBorder="1"/>
    <xf numFmtId="0" fontId="0" fillId="3" borderId="6" xfId="0" applyFill="1" applyBorder="1"/>
    <xf numFmtId="0" fontId="0" fillId="0" borderId="4" xfId="0" applyBorder="1"/>
    <xf numFmtId="0" fontId="0" fillId="0" borderId="8" xfId="0" applyBorder="1"/>
    <xf numFmtId="0" fontId="0" fillId="5" borderId="9" xfId="0" applyFill="1" applyBorder="1"/>
    <xf numFmtId="164" fontId="0" fillId="5" borderId="9" xfId="0" applyNumberFormat="1" applyFill="1" applyBorder="1"/>
    <xf numFmtId="9" fontId="0" fillId="5" borderId="9" xfId="0" applyNumberFormat="1" applyFill="1" applyBorder="1"/>
    <xf numFmtId="0" fontId="0" fillId="5" borderId="0" xfId="0" applyFill="1"/>
    <xf numFmtId="164" fontId="4" fillId="3" borderId="0" xfId="0" applyNumberFormat="1" applyFont="1" applyFill="1"/>
    <xf numFmtId="164" fontId="1" fillId="6" borderId="1" xfId="0" applyNumberFormat="1" applyFont="1" applyFill="1" applyBorder="1"/>
    <xf numFmtId="0" fontId="0" fillId="3" borderId="12" xfId="0" applyFill="1" applyBorder="1"/>
    <xf numFmtId="0" fontId="0" fillId="3" borderId="14" xfId="0" applyFill="1" applyBorder="1"/>
    <xf numFmtId="164" fontId="0" fillId="0" borderId="0" xfId="0" applyNumberFormat="1"/>
    <xf numFmtId="9" fontId="0" fillId="0" borderId="0" xfId="0" applyNumberFormat="1"/>
    <xf numFmtId="0" fontId="0" fillId="8" borderId="12" xfId="0" applyFill="1" applyBorder="1"/>
    <xf numFmtId="0" fontId="0" fillId="8" borderId="13" xfId="0" applyFill="1" applyBorder="1"/>
    <xf numFmtId="0" fontId="0" fillId="8" borderId="3" xfId="0" applyFill="1" applyBorder="1"/>
    <xf numFmtId="0" fontId="0" fillId="8" borderId="0" xfId="0" applyFill="1"/>
    <xf numFmtId="0" fontId="0" fillId="8" borderId="4" xfId="0" applyFill="1" applyBorder="1"/>
    <xf numFmtId="6" fontId="0" fillId="0" borderId="0" xfId="0" applyNumberFormat="1"/>
    <xf numFmtId="0" fontId="1" fillId="0" borderId="0" xfId="0" applyFont="1" applyAlignment="1">
      <alignment horizontal="center"/>
    </xf>
    <xf numFmtId="0" fontId="5" fillId="8" borderId="0" xfId="0" applyFont="1" applyFill="1" applyAlignment="1">
      <alignment vertical="center" wrapText="1"/>
    </xf>
    <xf numFmtId="9" fontId="0" fillId="5" borderId="15" xfId="0" applyNumberFormat="1" applyFill="1" applyBorder="1" applyProtection="1">
      <protection locked="0"/>
    </xf>
    <xf numFmtId="164" fontId="0" fillId="5" borderId="13" xfId="0" applyNumberFormat="1" applyFill="1" applyBorder="1" applyProtection="1">
      <protection locked="0"/>
    </xf>
    <xf numFmtId="9" fontId="0" fillId="5" borderId="13" xfId="0" applyNumberFormat="1" applyFill="1" applyBorder="1" applyProtection="1">
      <protection locked="0"/>
    </xf>
    <xf numFmtId="0" fontId="2" fillId="4" borderId="10" xfId="0" applyFont="1" applyFill="1" applyBorder="1"/>
    <xf numFmtId="0" fontId="2" fillId="4" borderId="11" xfId="0" applyFont="1" applyFill="1" applyBorder="1"/>
    <xf numFmtId="0" fontId="5" fillId="8" borderId="0" xfId="0" applyFont="1" applyFill="1" applyAlignment="1">
      <alignment horizontal="center" vertical="center" wrapText="1"/>
    </xf>
    <xf numFmtId="0" fontId="0" fillId="3" borderId="3" xfId="0" applyFill="1" applyBorder="1"/>
    <xf numFmtId="0" fontId="0" fillId="3" borderId="0" xfId="0" applyFill="1"/>
    <xf numFmtId="0" fontId="1" fillId="7" borderId="3" xfId="0" applyFont="1" applyFill="1" applyBorder="1"/>
    <xf numFmtId="0" fontId="1" fillId="7" borderId="0" xfId="0" applyFont="1" applyFill="1"/>
    <xf numFmtId="0" fontId="4" fillId="6" borderId="6" xfId="0" applyFont="1" applyFill="1" applyBorder="1"/>
    <xf numFmtId="0" fontId="4" fillId="6" borderId="1" xfId="0" applyFont="1" applyFill="1" applyBorder="1"/>
    <xf numFmtId="0" fontId="4" fillId="6" borderId="8" xfId="0" applyFont="1" applyFill="1" applyBorder="1"/>
    <xf numFmtId="0" fontId="1" fillId="3" borderId="3" xfId="0" applyFont="1" applyFill="1" applyBorder="1"/>
    <xf numFmtId="0" fontId="1" fillId="3" borderId="0" xfId="0" applyFont="1" applyFill="1"/>
    <xf numFmtId="0" fontId="2" fillId="4" borderId="3" xfId="0" applyFont="1" applyFill="1" applyBorder="1"/>
    <xf numFmtId="0" fontId="2" fillId="4" borderId="0" xfId="0" applyFont="1" applyFill="1"/>
    <xf numFmtId="0" fontId="2" fillId="4" borderId="4" xfId="0" applyFont="1" applyFill="1" applyBorder="1"/>
    <xf numFmtId="0" fontId="4" fillId="6" borderId="3" xfId="0" applyFont="1" applyFill="1" applyBorder="1"/>
    <xf numFmtId="0" fontId="4" fillId="6" borderId="0" xfId="0" applyFont="1" applyFill="1"/>
    <xf numFmtId="0" fontId="4" fillId="6" borderId="4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3" fillId="2" borderId="5" xfId="0" applyFont="1" applyFill="1" applyBorder="1"/>
    <xf numFmtId="0" fontId="3" fillId="2" borderId="2" xfId="0" applyFont="1" applyFill="1" applyBorder="1"/>
    <xf numFmtId="0" fontId="3" fillId="2" borderId="7" xfId="0" applyFont="1" applyFill="1" applyBorder="1"/>
    <xf numFmtId="0" fontId="2" fillId="4" borderId="12" xfId="0" applyFont="1" applyFill="1" applyBorder="1"/>
    <xf numFmtId="0" fontId="2" fillId="4" borderId="13" xfId="0" applyFont="1" applyFill="1" applyBorder="1"/>
    <xf numFmtId="0" fontId="6" fillId="8" borderId="0" xfId="0" applyFont="1" applyFill="1" applyAlignment="1">
      <alignment horizontal="left"/>
    </xf>
    <xf numFmtId="0" fontId="7" fillId="8" borderId="0" xfId="0" applyFont="1" applyFill="1"/>
    <xf numFmtId="0" fontId="0" fillId="3" borderId="6" xfId="0" applyFill="1" applyBorder="1"/>
    <xf numFmtId="0" fontId="0" fillId="3" borderId="1" xfId="0" applyFill="1" applyBorder="1"/>
    <xf numFmtId="0" fontId="2" fillId="2" borderId="3" xfId="0" applyFont="1" applyFill="1" applyBorder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971553</xdr:colOff>
      <xdr:row>13</xdr:row>
      <xdr:rowOff>7939</xdr:rowOff>
    </xdr:from>
    <xdr:to>
      <xdr:col>2</xdr:col>
      <xdr:colOff>3175</xdr:colOff>
      <xdr:row>23</xdr:row>
      <xdr:rowOff>75960</xdr:rowOff>
    </xdr:to>
    <xdr:pic>
      <xdr:nvPicPr>
        <xdr:cNvPr id="2" name="Picture 1" descr="Murphy Advisory Services">
          <a:extLst>
            <a:ext uri="{FF2B5EF4-FFF2-40B4-BE49-F238E27FC236}">
              <a16:creationId xmlns:a16="http://schemas.microsoft.com/office/drawing/2014/main" id="{997546E2-23BA-3F03-AF72-02B2E9CA2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353" y="2361672"/>
          <a:ext cx="1917697" cy="1846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556260</xdr:colOff>
      <xdr:row>23</xdr:row>
      <xdr:rowOff>0</xdr:rowOff>
    </xdr:from>
    <xdr:to>
      <xdr:col>2</xdr:col>
      <xdr:colOff>403860</xdr:colOff>
      <xdr:row>25</xdr:row>
      <xdr:rowOff>60960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31520" y="4076700"/>
          <a:ext cx="2750820" cy="4114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6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is for illustrative purposes only. Copyright 2026 Murphy Advisory Services, LLC. Do not reproduce without written consent of Murphy Advisory Services, LLC.</a:t>
          </a:r>
          <a:r>
            <a:rPr lang="en-US" sz="600" i="0">
              <a:latin typeface="+mn-lt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52"/>
  <sheetViews>
    <sheetView tabSelected="1" zoomScale="120" zoomScaleNormal="120" workbookViewId="0">
      <selection activeCell="G6" sqref="G6"/>
    </sheetView>
  </sheetViews>
  <sheetFormatPr baseColWidth="10" defaultColWidth="8.83203125" defaultRowHeight="15" x14ac:dyDescent="0.2"/>
  <cols>
    <col min="1" max="1" width="2.33203125" customWidth="1"/>
    <col min="2" max="2" width="38.1640625" customWidth="1"/>
    <col min="3" max="3" width="15.33203125" customWidth="1"/>
    <col min="4" max="4" width="3.83203125" customWidth="1"/>
    <col min="5" max="6" width="19" customWidth="1"/>
    <col min="7" max="8" width="17.1640625" customWidth="1"/>
    <col min="9" max="9" width="3.83203125" customWidth="1"/>
    <col min="10" max="11" width="22.83203125" customWidth="1"/>
    <col min="12" max="13" width="17.1640625" customWidth="1"/>
    <col min="14" max="36" width="8.83203125" customWidth="1"/>
    <col min="37" max="37" width="22.6640625" customWidth="1"/>
    <col min="38" max="38" width="17.6640625" customWidth="1"/>
    <col min="39" max="39" width="24" customWidth="1"/>
  </cols>
  <sheetData>
    <row r="1" spans="1:39" s="38" customFormat="1" x14ac:dyDescent="0.2"/>
    <row r="2" spans="1:39" ht="19" x14ac:dyDescent="0.25">
      <c r="A2" s="38"/>
      <c r="B2" s="64" t="s">
        <v>18</v>
      </c>
      <c r="C2" s="65"/>
      <c r="D2" s="38"/>
      <c r="E2" s="66" t="s">
        <v>23</v>
      </c>
      <c r="F2" s="67"/>
      <c r="G2" s="67"/>
      <c r="H2" s="6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</row>
    <row r="3" spans="1:39" x14ac:dyDescent="0.2">
      <c r="A3" s="38"/>
      <c r="B3" s="35"/>
      <c r="C3" s="36"/>
      <c r="D3" s="38"/>
      <c r="E3" s="37"/>
      <c r="F3" s="38"/>
      <c r="G3" s="38"/>
      <c r="H3" s="39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</row>
    <row r="4" spans="1:39" x14ac:dyDescent="0.2">
      <c r="A4" s="38"/>
      <c r="B4" s="69" t="s">
        <v>2</v>
      </c>
      <c r="C4" s="70"/>
      <c r="D4" s="38"/>
      <c r="E4" s="58" t="s">
        <v>24</v>
      </c>
      <c r="F4" s="59"/>
      <c r="G4" s="2" t="s">
        <v>0</v>
      </c>
      <c r="H4" s="5" t="s">
        <v>1</v>
      </c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</row>
    <row r="5" spans="1:39" x14ac:dyDescent="0.2">
      <c r="A5" s="38"/>
      <c r="B5" s="31" t="s">
        <v>63</v>
      </c>
      <c r="C5" s="44"/>
      <c r="D5" s="38"/>
      <c r="E5" s="49" t="s">
        <v>15</v>
      </c>
      <c r="F5" s="50"/>
      <c r="G5" s="6" t="str">
        <f>IF(NOT(OR(ISBLANK($C$5),ISBLANK($C$6),ISBLANK($C$7),ISBLANK($C$10),ISBLANK($C$11))),'Detailed Analysis'!D19,"")</f>
        <v/>
      </c>
      <c r="H5" s="11" t="str">
        <f>IF(NOT(OR(ISBLANK($C$5),ISBLANK($C$6),ISBLANK($C$7),ISBLANK($C$10),ISBLANK($C$11))),'Detailed Analysis'!E19,"")</f>
        <v/>
      </c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</row>
    <row r="6" spans="1:39" x14ac:dyDescent="0.2">
      <c r="A6" s="38"/>
      <c r="B6" s="31" t="s">
        <v>64</v>
      </c>
      <c r="C6" s="44"/>
      <c r="D6" s="38"/>
      <c r="E6" s="49" t="s">
        <v>16</v>
      </c>
      <c r="F6" s="50"/>
      <c r="G6" s="6" t="str">
        <f>IF(NOT(OR(ISBLANK($C$5),ISBLANK($C$6),ISBLANK($C$7),ISBLANK($C$10),ISBLANK($C$11))),'Detailed Analysis'!D35,"")</f>
        <v/>
      </c>
      <c r="H6" s="11" t="str">
        <f>IF(NOT(OR(ISBLANK($C$5),ISBLANK($C$6),ISBLANK($C$7),ISBLANK($C$10),ISBLANK($C$11))),'Detailed Analysis'!E35,"")</f>
        <v/>
      </c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</row>
    <row r="7" spans="1:39" x14ac:dyDescent="0.2">
      <c r="A7" s="38"/>
      <c r="B7" s="31" t="s">
        <v>61</v>
      </c>
      <c r="C7" s="45"/>
      <c r="D7" s="38"/>
      <c r="E7" s="51" t="s">
        <v>17</v>
      </c>
      <c r="F7" s="52"/>
      <c r="G7" s="8" t="str">
        <f>IF(NOT(OR(ISBLANK($C$5),ISBLANK($C$6),ISBLANK($C$7),ISBLANK($C$10),ISBLANK($C$11))),G5+G6,"")</f>
        <v/>
      </c>
      <c r="H7" s="12" t="str">
        <f>IF(NOT(OR(ISBLANK($C$5),ISBLANK($C$6),ISBLANK($C$7),ISBLANK($C$10),ISBLANK($C$11))),H5+H6,"")</f>
        <v/>
      </c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</row>
    <row r="8" spans="1:39" x14ac:dyDescent="0.2">
      <c r="A8" s="38"/>
      <c r="B8" s="35"/>
      <c r="C8" s="36"/>
      <c r="D8" s="38"/>
      <c r="E8" s="37"/>
      <c r="F8" s="38"/>
      <c r="G8" s="38"/>
      <c r="H8" s="39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</row>
    <row r="9" spans="1:39" x14ac:dyDescent="0.2">
      <c r="A9" s="38"/>
      <c r="B9" s="46" t="s">
        <v>5</v>
      </c>
      <c r="C9" s="47"/>
      <c r="D9" s="38"/>
      <c r="E9" s="56" t="s">
        <v>25</v>
      </c>
      <c r="F9" s="57"/>
      <c r="G9" s="1"/>
      <c r="H9" s="4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</row>
    <row r="10" spans="1:39" x14ac:dyDescent="0.2">
      <c r="A10" s="38"/>
      <c r="B10" s="31" t="s">
        <v>9</v>
      </c>
      <c r="C10" s="44"/>
      <c r="D10" s="38"/>
      <c r="E10" s="49" t="s">
        <v>41</v>
      </c>
      <c r="F10" s="50"/>
      <c r="G10" s="29" t="str">
        <f>IF(NOT(OR(ISBLANK($C$5),ISBLANK($C$6),ISBLANK($C$7),ISBLANK($C$10),ISBLANK($C$11))),ABS(G7-H7),"")</f>
        <v/>
      </c>
      <c r="H10" s="4" t="str">
        <f>IF(NOT(OR(ISBLANK($C$5),ISBLANK($C$6),ISBLANK($C$7),ISBLANK($C$10),ISBLANK($C$11))),IF(G7&lt;H7,"(External Saves)","(Internal Saves)"),"")</f>
        <v/>
      </c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</row>
    <row r="11" spans="1:39" x14ac:dyDescent="0.2">
      <c r="A11" s="38"/>
      <c r="B11" s="32" t="s">
        <v>39</v>
      </c>
      <c r="C11" s="43"/>
      <c r="D11" s="38"/>
      <c r="E11" s="37"/>
      <c r="F11" s="38"/>
      <c r="G11" s="38"/>
      <c r="H11" s="39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</row>
    <row r="12" spans="1:39" x14ac:dyDescent="0.2">
      <c r="A12" s="38"/>
      <c r="B12" s="38"/>
      <c r="C12" s="38"/>
      <c r="D12" s="38"/>
      <c r="E12" s="58" t="s">
        <v>21</v>
      </c>
      <c r="F12" s="59"/>
      <c r="G12" s="59"/>
      <c r="H12" s="60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</row>
    <row r="13" spans="1:39" x14ac:dyDescent="0.2">
      <c r="A13" s="38"/>
      <c r="B13" s="38"/>
      <c r="C13" s="38"/>
      <c r="D13" s="38"/>
      <c r="E13" s="61" t="str">
        <f>IF(NOT(OR(ISBLANK($C$5),ISBLANK($C$6),ISBLANK($C$7),ISBLANK($C$10),ISBLANK($C$11))),IF(G7&lt;H7,"✅ EXTERNAL HIRE is more cost-effective over 2 years by "&amp;TEXT(H7-G7,"$#,##0"),"✅ INTERNAL HIRE is more cost-effective over 2 years by "&amp;TEXT(G7-H7,"$#,##0")),"")</f>
        <v/>
      </c>
      <c r="F13" s="62"/>
      <c r="G13" s="62"/>
      <c r="H13" s="63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</row>
    <row r="14" spans="1:39" x14ac:dyDescent="0.2">
      <c r="A14" s="38"/>
      <c r="B14" s="38"/>
      <c r="C14" s="38"/>
      <c r="D14" s="38"/>
      <c r="E14" s="37"/>
      <c r="F14" s="38"/>
      <c r="G14" s="38"/>
      <c r="H14" s="39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</row>
    <row r="15" spans="1:39" x14ac:dyDescent="0.2">
      <c r="A15" s="38"/>
      <c r="B15" s="38"/>
      <c r="C15" s="38"/>
      <c r="D15" s="38"/>
      <c r="E15" s="58" t="s">
        <v>26</v>
      </c>
      <c r="F15" s="59"/>
      <c r="G15" s="2" t="s">
        <v>0</v>
      </c>
      <c r="H15" s="5" t="s">
        <v>1</v>
      </c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</row>
    <row r="16" spans="1:39" x14ac:dyDescent="0.2">
      <c r="A16" s="38"/>
      <c r="C16" s="38"/>
      <c r="D16" s="38"/>
      <c r="E16" s="49" t="s">
        <v>55</v>
      </c>
      <c r="F16" s="50"/>
      <c r="G16" s="10" t="str">
        <f>IF(NOT(OR(ISBLANK($C$5),ISBLANK($C$6),ISBLANK($C$7),ISBLANK($C$10),ISBLANK($C$11))),Inputs!C8,"")</f>
        <v/>
      </c>
      <c r="H16" s="13" t="str">
        <f>IF(NOT(OR(ISBLANK($C$5),ISBLANK($C$6),ISBLANK($C$7),ISBLANK($C$10),ISBLANK($C$11))),Inputs!C8,"")</f>
        <v/>
      </c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</row>
    <row r="17" spans="1:39" x14ac:dyDescent="0.2">
      <c r="A17" s="38"/>
      <c r="B17" s="38"/>
      <c r="C17" s="38"/>
      <c r="D17" s="38"/>
      <c r="E17" s="49" t="s">
        <v>56</v>
      </c>
      <c r="F17" s="50"/>
      <c r="G17" s="10" t="str">
        <f>IF(NOT(OR(ISBLANK($C$5),ISBLANK($C$6),ISBLANK($C$7),ISBLANK($C$10),ISBLANK($C$11))),Inputs!C14,"")</f>
        <v/>
      </c>
      <c r="H17" s="13" t="str">
        <f>IF(NOT(OR(ISBLANK($C$5),ISBLANK($C$6),ISBLANK($C$7),ISBLANK($C$10),ISBLANK($C$11))),Inputs!C15,"")</f>
        <v/>
      </c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</row>
    <row r="18" spans="1:39" x14ac:dyDescent="0.2">
      <c r="A18" s="38"/>
      <c r="B18" s="38"/>
      <c r="C18" s="38"/>
      <c r="D18" s="38"/>
      <c r="E18" s="49" t="s">
        <v>57</v>
      </c>
      <c r="F18" s="50"/>
      <c r="G18" s="10" t="str">
        <f>IF(NOT(OR(ISBLANK($C$5),ISBLANK($C$6),ISBLANK($C$7),ISBLANK($C$10),ISBLANK($C$11))),G16+G17,"")</f>
        <v/>
      </c>
      <c r="H18" s="13" t="str">
        <f>IF(NOT(OR(ISBLANK($C$5),ISBLANK($C$6),ISBLANK($C$7),ISBLANK($C$10),ISBLANK($C$11))),H16+H17,"")</f>
        <v/>
      </c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</row>
    <row r="19" spans="1:39" x14ac:dyDescent="0.2">
      <c r="A19" s="38"/>
      <c r="B19" s="38"/>
      <c r="C19" s="38"/>
      <c r="D19" s="38"/>
      <c r="E19" s="49" t="s">
        <v>58</v>
      </c>
      <c r="F19" s="50"/>
      <c r="G19" s="10" t="str">
        <f>IF(NOT(OR(ISBLANK($C$5),ISBLANK($C$6),ISBLANK($C$7),ISBLANK($C$10),ISBLANK($C$11))),0,"")</f>
        <v/>
      </c>
      <c r="H19" s="13" t="str">
        <f>IF(NOT(OR(ISBLANK($C$5),ISBLANK($C$6),ISBLANK($C$7),ISBLANK($C$10),ISBLANK($C$11))),Inputs!C8+Inputs!C24,"")</f>
        <v/>
      </c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</row>
    <row r="20" spans="1:39" x14ac:dyDescent="0.2">
      <c r="A20" s="38"/>
      <c r="B20" s="38"/>
      <c r="C20" s="38"/>
      <c r="D20" s="38"/>
      <c r="E20" s="51" t="s">
        <v>42</v>
      </c>
      <c r="F20" s="52"/>
      <c r="G20" s="7" t="str">
        <f>IF(NOT(OR(ISBLANK($C$5),ISBLANK($C$6),ISBLANK($C$7),ISBLANK($C$10),ISBLANK($C$11))),MAX(G18,G19),"")</f>
        <v/>
      </c>
      <c r="H20" s="14" t="str">
        <f>IF(NOT(OR(ISBLANK($C$5),ISBLANK($C$6),ISBLANK($C$7),ISBLANK($C$10),ISBLANK($C$11))),MAX(H18,H19),"")</f>
        <v/>
      </c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</row>
    <row r="21" spans="1:39" x14ac:dyDescent="0.2">
      <c r="A21" s="38"/>
      <c r="B21" s="38"/>
      <c r="C21" s="38"/>
      <c r="D21" s="38"/>
      <c r="E21" s="37"/>
      <c r="F21" s="38"/>
      <c r="G21" s="38"/>
      <c r="H21" s="39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</row>
    <row r="22" spans="1:39" x14ac:dyDescent="0.2">
      <c r="A22" s="38"/>
      <c r="B22" s="38"/>
      <c r="C22" s="38"/>
      <c r="D22" s="38"/>
      <c r="E22" s="58" t="s">
        <v>22</v>
      </c>
      <c r="F22" s="59"/>
      <c r="G22" s="59"/>
      <c r="H22" s="60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</row>
    <row r="23" spans="1:39" x14ac:dyDescent="0.2">
      <c r="A23" s="38"/>
      <c r="B23" s="38"/>
      <c r="C23" s="38"/>
      <c r="D23" s="38"/>
      <c r="E23" s="53" t="str">
        <f>IF(NOT(OR(ISBLANK($C$5),ISBLANK($C$6),ISBLANK($C$7),ISBLANK($C$10),ISBLANK($C$11))),IF(G20&lt;H20,"✅ EXTERNAL HIRE reaches full productivity "&amp;(H20-G20)&amp;" months faster",IF(H20&lt;G20,"✅ INTERNAL HIRE reaches full productivity "&amp;(G20-H20)&amp;" months faster","Both options reach full productivity at the same time")),"")</f>
        <v/>
      </c>
      <c r="F23" s="54"/>
      <c r="G23" s="54"/>
      <c r="H23" s="55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</row>
    <row r="24" spans="1:39" s="38" customFormat="1" x14ac:dyDescent="0.2"/>
    <row r="25" spans="1:39" s="38" customFormat="1" x14ac:dyDescent="0.2">
      <c r="E25" s="59" t="str">
        <f>IF(NOT(OR(ISBLANK($C$5),ISBLANK($C$6),ISBLANK($C$7),ISBLANK($C$10),ISBLANK($C$11))),"📋 KEY ASSUMPTIONS","")</f>
        <v/>
      </c>
      <c r="F25" s="59"/>
      <c r="G25" s="59"/>
      <c r="H25" s="59"/>
    </row>
    <row r="26" spans="1:39" s="38" customFormat="1" x14ac:dyDescent="0.2">
      <c r="E26" s="71" t="str">
        <f>IF(NOT(OR(ISBLANK($C$5),ISBLANK($C$6),ISBLANK($C$7),ISBLANK($C$10),ISBLANK($C$11))),"¹ 2-Year Costs include: Salary, Recruiting Fees, Training Costs, and Productivity Loss during onboarding.","")</f>
        <v/>
      </c>
      <c r="F26" s="72"/>
      <c r="G26" s="72"/>
      <c r="H26" s="72"/>
    </row>
    <row r="27" spans="1:39" s="38" customFormat="1" x14ac:dyDescent="0.2">
      <c r="E27" s="71" t="str">
        <f>IF(NOT(OR(ISBLANK($C$5),ISBLANK($C$6),ISBLANK($C$7),ISBLANK($C$10),ISBLANK($C$11))),"² Recruiting fees are one-time costs incurred in Year 1 only.","")</f>
        <v/>
      </c>
      <c r="F27" s="72"/>
      <c r="G27" s="72"/>
      <c r="H27" s="72"/>
    </row>
    <row r="28" spans="1:39" s="38" customFormat="1" x14ac:dyDescent="0.2">
      <c r="E28" s="71" t="str">
        <f>IF(NOT(OR(ISBLANK($C$5),ISBLANK($C$6),ISBLANK($C$7),ISBLANK($C$10),ISBLANK($C$11))),"³ Training Costs = "&amp;TEXT(Inputs!C9,"0%")&amp;" of annual salary, applied each year.","")</f>
        <v/>
      </c>
      <c r="F28" s="72"/>
      <c r="G28" s="72"/>
      <c r="H28" s="72"/>
    </row>
    <row r="29" spans="1:39" s="38" customFormat="1" x14ac:dyDescent="0.2">
      <c r="E29" s="71" t="str">
        <f>IF(NOT(OR(ISBLANK($C$5),ISBLANK($C$6),ISBLANK($C$7),ISBLANK($C$10),ISBLANK($C$11))),"⁴ Annual salary raises ("&amp;TEXT(Inputs!C28,"0%")&amp;") are applied starting in Year 2.","")</f>
        <v/>
      </c>
      <c r="F29" s="72"/>
      <c r="G29" s="72"/>
      <c r="H29" s="72"/>
    </row>
    <row r="30" spans="1:39" s="38" customFormat="1" ht="14" customHeight="1" x14ac:dyDescent="0.2">
      <c r="B30" s="48"/>
      <c r="C30" s="42"/>
      <c r="D30" s="42"/>
      <c r="E30" s="71" t="str">
        <f>IF(NOT(OR(ISBLANK($C$5),ISBLANK($C$6),ISBLANK($C$7),ISBLANK($C$10),ISBLANK($C$11))),"⁵ Onboarding Loss = Salary × Onboarding Months × (1 - Efficiency %).","")</f>
        <v/>
      </c>
      <c r="F30" s="72"/>
      <c r="G30" s="72"/>
      <c r="H30" s="72"/>
    </row>
    <row r="31" spans="1:39" s="38" customFormat="1" x14ac:dyDescent="0.2">
      <c r="B31" s="48"/>
      <c r="C31" s="42"/>
      <c r="D31" s="42"/>
      <c r="E31" s="71" t="str">
        <f>IF(NOT(OR(ISBLANK($C$5),ISBLANK($C$6),ISBLANK($C$7),ISBLANK($C$10),ISBLANK($C$11))),"⁶ Assumed Efficiency: External "&amp;TEXT(Inputs!C16,"0%")&amp;" for "&amp;Inputs!C14&amp;" months; Internal "&amp;TEXT(Inputs!C17,"0%")&amp;" for "&amp;Inputs!C15&amp;" months.","")</f>
        <v/>
      </c>
      <c r="F31" s="72"/>
      <c r="G31" s="72"/>
      <c r="H31" s="72"/>
    </row>
    <row r="32" spans="1:39" s="38" customFormat="1" x14ac:dyDescent="0.2">
      <c r="B32" s="42"/>
      <c r="C32" s="42"/>
      <c r="D32" s="42"/>
      <c r="E32" s="71" t="str">
        <f>IF(NOT(OR(ISBLANK($C$5),ISBLANK($C$6),ISBLANK($C$7),ISBLANK($C$10),ISBLANK($C$11))),"⁷ Internal hire requires backfill; external hire does not.","")</f>
        <v/>
      </c>
      <c r="F32" s="72"/>
      <c r="G32" s="72"/>
      <c r="H32" s="72"/>
    </row>
    <row r="33" spans="2:8" s="38" customFormat="1" x14ac:dyDescent="0.2">
      <c r="B33" s="42"/>
      <c r="C33" s="42"/>
      <c r="D33" s="42"/>
      <c r="E33" s="71" t="str">
        <f>IF(NOT(OR(ISBLANK($C$5),ISBLANK($C$6),ISBLANK($C$7),ISBLANK($C$10),ISBLANK($C$11))),"⁸ Time to fill the role is assumed equal for both scenarios.","")</f>
        <v/>
      </c>
      <c r="F33" s="72"/>
      <c r="G33" s="72"/>
      <c r="H33" s="72"/>
    </row>
    <row r="34" spans="2:8" s="38" customFormat="1" x14ac:dyDescent="0.2">
      <c r="E34" s="71" t="str">
        <f>IF(NOT(OR(ISBLANK($C$5),ISBLANK($C$6),ISBLANK($C$7),ISBLANK($C$10),ISBLANK($C$11))),"⁹ Analysis period is 2 years from hire date.","")</f>
        <v/>
      </c>
      <c r="F34" s="72"/>
      <c r="G34" s="72"/>
      <c r="H34" s="72"/>
    </row>
    <row r="35" spans="2:8" s="38" customFormat="1" x14ac:dyDescent="0.2"/>
    <row r="36" spans="2:8" s="38" customFormat="1" x14ac:dyDescent="0.2"/>
    <row r="37" spans="2:8" s="38" customFormat="1" x14ac:dyDescent="0.2"/>
    <row r="38" spans="2:8" s="38" customFormat="1" x14ac:dyDescent="0.2"/>
    <row r="39" spans="2:8" s="38" customFormat="1" x14ac:dyDescent="0.2"/>
    <row r="40" spans="2:8" s="38" customFormat="1" x14ac:dyDescent="0.2"/>
    <row r="41" spans="2:8" s="38" customFormat="1" x14ac:dyDescent="0.2"/>
    <row r="42" spans="2:8" s="38" customFormat="1" x14ac:dyDescent="0.2"/>
    <row r="43" spans="2:8" s="38" customFormat="1" x14ac:dyDescent="0.2"/>
    <row r="44" spans="2:8" s="38" customFormat="1" x14ac:dyDescent="0.2"/>
    <row r="45" spans="2:8" s="38" customFormat="1" x14ac:dyDescent="0.2"/>
    <row r="46" spans="2:8" s="38" customFormat="1" x14ac:dyDescent="0.2"/>
    <row r="47" spans="2:8" s="38" customFormat="1" x14ac:dyDescent="0.2"/>
    <row r="48" spans="2:8" s="38" customFormat="1" x14ac:dyDescent="0.2"/>
    <row r="49" s="38" customFormat="1" x14ac:dyDescent="0.2"/>
    <row r="50" s="38" customFormat="1" x14ac:dyDescent="0.2"/>
    <row r="51" s="38" customFormat="1" x14ac:dyDescent="0.2"/>
    <row r="52" s="38" customFormat="1" x14ac:dyDescent="0.2"/>
  </sheetData>
  <sheetProtection algorithmName="SHA-512" hashValue="uU0SEPmBFWWwvG724rzzgePPyn3SBTXNW//7LC2GtQvnZ1VlqEmiYuAeSstIIEPoTtVwPgFt/B/JCzGu7l7EFA==" saltValue="udeZRrK7cU3yx66yiQPplg==" spinCount="100000" sheet="1" objects="1" scenarios="1"/>
  <mergeCells count="31">
    <mergeCell ref="B2:C2"/>
    <mergeCell ref="E2:H2"/>
    <mergeCell ref="B4:C4"/>
    <mergeCell ref="E4:F4"/>
    <mergeCell ref="E34:H34"/>
    <mergeCell ref="E25:H25"/>
    <mergeCell ref="E26:H26"/>
    <mergeCell ref="E27:H27"/>
    <mergeCell ref="E28:H28"/>
    <mergeCell ref="E29:H29"/>
    <mergeCell ref="E30:H30"/>
    <mergeCell ref="E31:H31"/>
    <mergeCell ref="E32:H32"/>
    <mergeCell ref="E33:H33"/>
    <mergeCell ref="E20:F20"/>
    <mergeCell ref="E22:H22"/>
    <mergeCell ref="B9:C9"/>
    <mergeCell ref="B30:B31"/>
    <mergeCell ref="E5:F5"/>
    <mergeCell ref="E6:F6"/>
    <mergeCell ref="E7:F7"/>
    <mergeCell ref="E23:H23"/>
    <mergeCell ref="E17:F17"/>
    <mergeCell ref="E18:F18"/>
    <mergeCell ref="E19:F19"/>
    <mergeCell ref="E16:F16"/>
    <mergeCell ref="E9:F9"/>
    <mergeCell ref="E10:F10"/>
    <mergeCell ref="E12:H12"/>
    <mergeCell ref="E13:H13"/>
    <mergeCell ref="E15:F15"/>
  </mergeCells>
  <pageMargins left="0.7" right="0.7" top="0.75" bottom="0.75" header="0.3" footer="0.3"/>
  <pageSetup orientation="portrait" horizontalDpi="200" verticalDpi="200" copies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Please select a salary amount from those available in the drop down list. " prompt="Select nearest salary amount from the drop down list. " xr:uid="{00000000-0002-0000-0000-000000000000}">
          <x14:formula1>
            <xm:f>Inputs!$E$5:$E$79</xm:f>
          </x14:formula1>
          <xm:sqref>C5:C6 C10</xm:sqref>
        </x14:dataValidation>
        <x14:dataValidation type="list" allowBlank="1" showInputMessage="1" showErrorMessage="1" error="Please enter a percentage from those in the drop down list. " prompt="Select recruiting fee percentage from list.   Select 0% if you are not using a recruiter._x000a_" xr:uid="{00000000-0002-0000-0000-000001000000}">
          <x14:formula1>
            <xm:f>Inputs!$F$4:$F$35</xm:f>
          </x14:formula1>
          <xm:sqref>C7 C11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69"/>
  <sheetViews>
    <sheetView workbookViewId="0">
      <selection activeCell="C28" sqref="C28"/>
    </sheetView>
  </sheetViews>
  <sheetFormatPr baseColWidth="10" defaultColWidth="8.83203125" defaultRowHeight="15" x14ac:dyDescent="0.2"/>
  <cols>
    <col min="2" max="2" width="37" bestFit="1" customWidth="1"/>
    <col min="3" max="3" width="16.33203125" customWidth="1"/>
    <col min="5" max="5" width="10.1640625" bestFit="1" customWidth="1"/>
    <col min="6" max="6" width="14.1640625" bestFit="1" customWidth="1"/>
  </cols>
  <sheetData>
    <row r="2" spans="2:6" ht="19" x14ac:dyDescent="0.25">
      <c r="B2" s="66" t="s">
        <v>18</v>
      </c>
      <c r="C2" s="67"/>
      <c r="E2" s="41" t="s">
        <v>68</v>
      </c>
      <c r="F2" s="41" t="s">
        <v>69</v>
      </c>
    </row>
    <row r="3" spans="2:6" x14ac:dyDescent="0.2">
      <c r="B3" s="21"/>
    </row>
    <row r="4" spans="2:6" x14ac:dyDescent="0.2">
      <c r="B4" s="58" t="s">
        <v>2</v>
      </c>
      <c r="C4" s="59"/>
      <c r="E4" s="40"/>
      <c r="F4" s="34">
        <v>0</v>
      </c>
    </row>
    <row r="5" spans="2:6" x14ac:dyDescent="0.2">
      <c r="B5" s="3" t="s">
        <v>63</v>
      </c>
      <c r="C5" s="26">
        <f>'Hire or Develop Calculator'!C5</f>
        <v>0</v>
      </c>
      <c r="E5" s="33">
        <v>30000</v>
      </c>
      <c r="F5" s="34">
        <v>0.05</v>
      </c>
    </row>
    <row r="6" spans="2:6" x14ac:dyDescent="0.2">
      <c r="B6" s="3" t="s">
        <v>64</v>
      </c>
      <c r="C6" s="26">
        <f>'Hire or Develop Calculator'!C6</f>
        <v>0</v>
      </c>
      <c r="E6" s="33">
        <f>+E5+5000</f>
        <v>35000</v>
      </c>
      <c r="F6" s="34">
        <f>+F5+0.01</f>
        <v>6.0000000000000005E-2</v>
      </c>
    </row>
    <row r="7" spans="2:6" x14ac:dyDescent="0.2">
      <c r="B7" s="3" t="s">
        <v>61</v>
      </c>
      <c r="C7" s="27">
        <f>'Hire or Develop Calculator'!C7</f>
        <v>0</v>
      </c>
      <c r="E7" s="33">
        <f t="shared" ref="E7:E70" si="0">+E6+5000</f>
        <v>40000</v>
      </c>
      <c r="F7" s="34">
        <f t="shared" ref="F7:F35" si="1">+F6+0.01</f>
        <v>7.0000000000000007E-2</v>
      </c>
    </row>
    <row r="8" spans="2:6" x14ac:dyDescent="0.2">
      <c r="B8" s="3" t="s">
        <v>62</v>
      </c>
      <c r="C8" s="25">
        <v>3</v>
      </c>
      <c r="E8" s="33">
        <f t="shared" si="0"/>
        <v>45000</v>
      </c>
      <c r="F8" s="34">
        <f t="shared" si="1"/>
        <v>0.08</v>
      </c>
    </row>
    <row r="9" spans="2:6" x14ac:dyDescent="0.2">
      <c r="B9" s="3" t="s">
        <v>70</v>
      </c>
      <c r="C9" s="27">
        <v>0.01</v>
      </c>
      <c r="E9" s="33">
        <f t="shared" si="0"/>
        <v>50000</v>
      </c>
      <c r="F9" s="34">
        <f t="shared" si="1"/>
        <v>0.09</v>
      </c>
    </row>
    <row r="10" spans="2:6" x14ac:dyDescent="0.2">
      <c r="B10" s="3" t="s">
        <v>45</v>
      </c>
      <c r="C10" s="26">
        <f>+C5*C9</f>
        <v>0</v>
      </c>
      <c r="E10" s="33">
        <f t="shared" si="0"/>
        <v>55000</v>
      </c>
      <c r="F10" s="34">
        <f t="shared" si="1"/>
        <v>9.9999999999999992E-2</v>
      </c>
    </row>
    <row r="11" spans="2:6" x14ac:dyDescent="0.2">
      <c r="B11" s="3" t="s">
        <v>46</v>
      </c>
      <c r="C11" s="26">
        <f>C6*C9</f>
        <v>0</v>
      </c>
      <c r="E11" s="33">
        <f t="shared" si="0"/>
        <v>60000</v>
      </c>
      <c r="F11" s="34">
        <f t="shared" si="1"/>
        <v>0.10999999999999999</v>
      </c>
    </row>
    <row r="12" spans="2:6" x14ac:dyDescent="0.2">
      <c r="B12" s="3" t="s">
        <v>47</v>
      </c>
      <c r="C12" s="26">
        <f>+C5*(1+C28)*C9</f>
        <v>0</v>
      </c>
      <c r="E12" s="33">
        <f t="shared" si="0"/>
        <v>65000</v>
      </c>
      <c r="F12" s="34">
        <f t="shared" si="1"/>
        <v>0.11999999999999998</v>
      </c>
    </row>
    <row r="13" spans="2:6" x14ac:dyDescent="0.2">
      <c r="B13" s="3" t="s">
        <v>48</v>
      </c>
      <c r="C13" s="26">
        <f>C6*0.01*(1+C28)</f>
        <v>0</v>
      </c>
      <c r="E13" s="33">
        <f t="shared" si="0"/>
        <v>70000</v>
      </c>
      <c r="F13" s="34">
        <f t="shared" si="1"/>
        <v>0.12999999999999998</v>
      </c>
    </row>
    <row r="14" spans="2:6" x14ac:dyDescent="0.2">
      <c r="B14" s="3" t="s">
        <v>37</v>
      </c>
      <c r="C14" s="25">
        <v>3</v>
      </c>
      <c r="E14" s="33">
        <f t="shared" si="0"/>
        <v>75000</v>
      </c>
      <c r="F14" s="34">
        <f t="shared" si="1"/>
        <v>0.13999999999999999</v>
      </c>
    </row>
    <row r="15" spans="2:6" x14ac:dyDescent="0.2">
      <c r="B15" s="3" t="s">
        <v>38</v>
      </c>
      <c r="C15" s="25">
        <v>12</v>
      </c>
      <c r="E15" s="33">
        <f t="shared" si="0"/>
        <v>80000</v>
      </c>
      <c r="F15" s="34">
        <f t="shared" si="1"/>
        <v>0.15</v>
      </c>
    </row>
    <row r="16" spans="2:6" x14ac:dyDescent="0.2">
      <c r="B16" s="3" t="s">
        <v>3</v>
      </c>
      <c r="C16" s="27">
        <v>0.75</v>
      </c>
      <c r="E16" s="33">
        <f t="shared" si="0"/>
        <v>85000</v>
      </c>
      <c r="F16" s="34">
        <f t="shared" si="1"/>
        <v>0.16</v>
      </c>
    </row>
    <row r="17" spans="2:6" x14ac:dyDescent="0.2">
      <c r="B17" s="3" t="s">
        <v>4</v>
      </c>
      <c r="C17" s="27">
        <v>0.5</v>
      </c>
      <c r="E17" s="33">
        <f t="shared" si="0"/>
        <v>90000</v>
      </c>
      <c r="F17" s="34">
        <f t="shared" si="1"/>
        <v>0.17</v>
      </c>
    </row>
    <row r="18" spans="2:6" x14ac:dyDescent="0.2">
      <c r="B18" s="21"/>
      <c r="E18" s="33">
        <f t="shared" si="0"/>
        <v>95000</v>
      </c>
      <c r="F18" s="34">
        <f t="shared" si="1"/>
        <v>0.18000000000000002</v>
      </c>
    </row>
    <row r="19" spans="2:6" x14ac:dyDescent="0.2">
      <c r="B19" s="58" t="s">
        <v>5</v>
      </c>
      <c r="C19" s="59"/>
      <c r="E19" s="33">
        <f t="shared" si="0"/>
        <v>100000</v>
      </c>
      <c r="F19" s="34">
        <f t="shared" si="1"/>
        <v>0.19000000000000003</v>
      </c>
    </row>
    <row r="20" spans="2:6" x14ac:dyDescent="0.2">
      <c r="B20" s="3" t="s">
        <v>9</v>
      </c>
      <c r="C20" s="18">
        <f>'Hire or Develop Calculator'!C10</f>
        <v>0</v>
      </c>
      <c r="E20" s="33">
        <f t="shared" si="0"/>
        <v>105000</v>
      </c>
      <c r="F20" s="34">
        <f t="shared" si="1"/>
        <v>0.20000000000000004</v>
      </c>
    </row>
    <row r="21" spans="2:6" x14ac:dyDescent="0.2">
      <c r="B21" s="3" t="s">
        <v>39</v>
      </c>
      <c r="C21" s="19">
        <f>'Hire or Develop Calculator'!C11</f>
        <v>0</v>
      </c>
      <c r="E21" s="33">
        <f t="shared" si="0"/>
        <v>110000</v>
      </c>
      <c r="F21" s="34">
        <f t="shared" si="1"/>
        <v>0.21000000000000005</v>
      </c>
    </row>
    <row r="22" spans="2:6" x14ac:dyDescent="0.2">
      <c r="B22" s="3" t="s">
        <v>49</v>
      </c>
      <c r="C22" s="18">
        <f>+C20*C9</f>
        <v>0</v>
      </c>
      <c r="E22" s="33">
        <f t="shared" si="0"/>
        <v>115000</v>
      </c>
      <c r="F22" s="34">
        <f t="shared" si="1"/>
        <v>0.22000000000000006</v>
      </c>
    </row>
    <row r="23" spans="2:6" x14ac:dyDescent="0.2">
      <c r="B23" s="3" t="s">
        <v>50</v>
      </c>
      <c r="C23" s="18">
        <f>+C22*(1+C29)</f>
        <v>0</v>
      </c>
      <c r="E23" s="33">
        <f t="shared" si="0"/>
        <v>120000</v>
      </c>
      <c r="F23" s="34">
        <f t="shared" si="1"/>
        <v>0.23000000000000007</v>
      </c>
    </row>
    <row r="24" spans="2:6" x14ac:dyDescent="0.2">
      <c r="B24" s="3" t="s">
        <v>40</v>
      </c>
      <c r="C24" s="28">
        <v>12</v>
      </c>
      <c r="E24" s="33">
        <f t="shared" si="0"/>
        <v>125000</v>
      </c>
      <c r="F24" s="34">
        <f t="shared" si="1"/>
        <v>0.24000000000000007</v>
      </c>
    </row>
    <row r="25" spans="2:6" x14ac:dyDescent="0.2">
      <c r="B25" s="3" t="s">
        <v>19</v>
      </c>
      <c r="C25" s="19">
        <v>0.5</v>
      </c>
      <c r="E25" s="33">
        <f t="shared" si="0"/>
        <v>130000</v>
      </c>
      <c r="F25" s="34">
        <f t="shared" si="1"/>
        <v>0.25000000000000006</v>
      </c>
    </row>
    <row r="26" spans="2:6" x14ac:dyDescent="0.2">
      <c r="B26" s="21"/>
      <c r="E26" s="33">
        <f t="shared" si="0"/>
        <v>135000</v>
      </c>
      <c r="F26" s="34">
        <f t="shared" si="1"/>
        <v>0.26000000000000006</v>
      </c>
    </row>
    <row r="27" spans="2:6" x14ac:dyDescent="0.2">
      <c r="B27" s="58" t="s">
        <v>6</v>
      </c>
      <c r="C27" s="59"/>
      <c r="E27" s="33">
        <f t="shared" si="0"/>
        <v>140000</v>
      </c>
      <c r="F27" s="34">
        <f t="shared" si="1"/>
        <v>0.27000000000000007</v>
      </c>
    </row>
    <row r="28" spans="2:6" x14ac:dyDescent="0.2">
      <c r="B28" s="3" t="s">
        <v>7</v>
      </c>
      <c r="C28" s="19">
        <v>0.03</v>
      </c>
      <c r="E28" s="33">
        <f t="shared" si="0"/>
        <v>145000</v>
      </c>
      <c r="F28" s="34">
        <f t="shared" si="1"/>
        <v>0.28000000000000008</v>
      </c>
    </row>
    <row r="29" spans="2:6" x14ac:dyDescent="0.2">
      <c r="B29" s="22" t="s">
        <v>8</v>
      </c>
      <c r="C29" s="20">
        <v>0.03</v>
      </c>
      <c r="E29" s="33">
        <f t="shared" si="0"/>
        <v>150000</v>
      </c>
      <c r="F29" s="34">
        <f t="shared" si="1"/>
        <v>0.29000000000000009</v>
      </c>
    </row>
    <row r="30" spans="2:6" x14ac:dyDescent="0.2">
      <c r="E30" s="33">
        <f t="shared" si="0"/>
        <v>155000</v>
      </c>
      <c r="F30" s="34">
        <f t="shared" si="1"/>
        <v>0.3000000000000001</v>
      </c>
    </row>
    <row r="31" spans="2:6" x14ac:dyDescent="0.2">
      <c r="E31" s="33">
        <f t="shared" si="0"/>
        <v>160000</v>
      </c>
      <c r="F31" s="34">
        <f t="shared" si="1"/>
        <v>0.31000000000000011</v>
      </c>
    </row>
    <row r="32" spans="2:6" x14ac:dyDescent="0.2">
      <c r="E32" s="33">
        <f t="shared" si="0"/>
        <v>165000</v>
      </c>
      <c r="F32" s="34">
        <f t="shared" si="1"/>
        <v>0.32000000000000012</v>
      </c>
    </row>
    <row r="33" spans="5:6" x14ac:dyDescent="0.2">
      <c r="E33" s="33">
        <f t="shared" si="0"/>
        <v>170000</v>
      </c>
      <c r="F33" s="34">
        <f t="shared" si="1"/>
        <v>0.33000000000000013</v>
      </c>
    </row>
    <row r="34" spans="5:6" x14ac:dyDescent="0.2">
      <c r="E34" s="33">
        <f t="shared" si="0"/>
        <v>175000</v>
      </c>
      <c r="F34" s="34">
        <f t="shared" si="1"/>
        <v>0.34000000000000014</v>
      </c>
    </row>
    <row r="35" spans="5:6" x14ac:dyDescent="0.2">
      <c r="E35" s="33">
        <f t="shared" si="0"/>
        <v>180000</v>
      </c>
      <c r="F35" s="34">
        <f t="shared" si="1"/>
        <v>0.35000000000000014</v>
      </c>
    </row>
    <row r="36" spans="5:6" x14ac:dyDescent="0.2">
      <c r="E36" s="33">
        <f t="shared" si="0"/>
        <v>185000</v>
      </c>
    </row>
    <row r="37" spans="5:6" x14ac:dyDescent="0.2">
      <c r="E37" s="33">
        <f t="shared" si="0"/>
        <v>190000</v>
      </c>
    </row>
    <row r="38" spans="5:6" x14ac:dyDescent="0.2">
      <c r="E38" s="33">
        <f t="shared" si="0"/>
        <v>195000</v>
      </c>
    </row>
    <row r="39" spans="5:6" x14ac:dyDescent="0.2">
      <c r="E39" s="33">
        <f t="shared" si="0"/>
        <v>200000</v>
      </c>
    </row>
    <row r="40" spans="5:6" x14ac:dyDescent="0.2">
      <c r="E40" s="33">
        <f t="shared" si="0"/>
        <v>205000</v>
      </c>
    </row>
    <row r="41" spans="5:6" x14ac:dyDescent="0.2">
      <c r="E41" s="33">
        <f t="shared" si="0"/>
        <v>210000</v>
      </c>
    </row>
    <row r="42" spans="5:6" x14ac:dyDescent="0.2">
      <c r="E42" s="33">
        <f t="shared" si="0"/>
        <v>215000</v>
      </c>
    </row>
    <row r="43" spans="5:6" x14ac:dyDescent="0.2">
      <c r="E43" s="33">
        <f t="shared" si="0"/>
        <v>220000</v>
      </c>
    </row>
    <row r="44" spans="5:6" x14ac:dyDescent="0.2">
      <c r="E44" s="33">
        <f t="shared" si="0"/>
        <v>225000</v>
      </c>
    </row>
    <row r="45" spans="5:6" x14ac:dyDescent="0.2">
      <c r="E45" s="33">
        <f t="shared" si="0"/>
        <v>230000</v>
      </c>
    </row>
    <row r="46" spans="5:6" x14ac:dyDescent="0.2">
      <c r="E46" s="33">
        <f t="shared" si="0"/>
        <v>235000</v>
      </c>
    </row>
    <row r="47" spans="5:6" x14ac:dyDescent="0.2">
      <c r="E47" s="33">
        <f t="shared" si="0"/>
        <v>240000</v>
      </c>
    </row>
    <row r="48" spans="5:6" x14ac:dyDescent="0.2">
      <c r="E48" s="33">
        <f t="shared" si="0"/>
        <v>245000</v>
      </c>
    </row>
    <row r="49" spans="5:5" x14ac:dyDescent="0.2">
      <c r="E49" s="33">
        <f t="shared" si="0"/>
        <v>250000</v>
      </c>
    </row>
    <row r="50" spans="5:5" x14ac:dyDescent="0.2">
      <c r="E50" s="33">
        <f t="shared" si="0"/>
        <v>255000</v>
      </c>
    </row>
    <row r="51" spans="5:5" x14ac:dyDescent="0.2">
      <c r="E51" s="33">
        <f t="shared" si="0"/>
        <v>260000</v>
      </c>
    </row>
    <row r="52" spans="5:5" x14ac:dyDescent="0.2">
      <c r="E52" s="33">
        <f t="shared" si="0"/>
        <v>265000</v>
      </c>
    </row>
    <row r="53" spans="5:5" x14ac:dyDescent="0.2">
      <c r="E53" s="33">
        <f t="shared" si="0"/>
        <v>270000</v>
      </c>
    </row>
    <row r="54" spans="5:5" x14ac:dyDescent="0.2">
      <c r="E54" s="33">
        <f t="shared" si="0"/>
        <v>275000</v>
      </c>
    </row>
    <row r="55" spans="5:5" x14ac:dyDescent="0.2">
      <c r="E55" s="33">
        <f t="shared" si="0"/>
        <v>280000</v>
      </c>
    </row>
    <row r="56" spans="5:5" x14ac:dyDescent="0.2">
      <c r="E56" s="33">
        <f t="shared" si="0"/>
        <v>285000</v>
      </c>
    </row>
    <row r="57" spans="5:5" x14ac:dyDescent="0.2">
      <c r="E57" s="33">
        <f t="shared" si="0"/>
        <v>290000</v>
      </c>
    </row>
    <row r="58" spans="5:5" x14ac:dyDescent="0.2">
      <c r="E58" s="33">
        <f t="shared" si="0"/>
        <v>295000</v>
      </c>
    </row>
    <row r="59" spans="5:5" x14ac:dyDescent="0.2">
      <c r="E59" s="33">
        <f t="shared" si="0"/>
        <v>300000</v>
      </c>
    </row>
    <row r="60" spans="5:5" x14ac:dyDescent="0.2">
      <c r="E60" s="33">
        <f t="shared" si="0"/>
        <v>305000</v>
      </c>
    </row>
    <row r="61" spans="5:5" x14ac:dyDescent="0.2">
      <c r="E61" s="33">
        <f t="shared" si="0"/>
        <v>310000</v>
      </c>
    </row>
    <row r="62" spans="5:5" x14ac:dyDescent="0.2">
      <c r="E62" s="33">
        <f t="shared" si="0"/>
        <v>315000</v>
      </c>
    </row>
    <row r="63" spans="5:5" x14ac:dyDescent="0.2">
      <c r="E63" s="33">
        <f t="shared" si="0"/>
        <v>320000</v>
      </c>
    </row>
    <row r="64" spans="5:5" x14ac:dyDescent="0.2">
      <c r="E64" s="33">
        <f t="shared" si="0"/>
        <v>325000</v>
      </c>
    </row>
    <row r="65" spans="5:5" x14ac:dyDescent="0.2">
      <c r="E65" s="33">
        <f t="shared" si="0"/>
        <v>330000</v>
      </c>
    </row>
    <row r="66" spans="5:5" x14ac:dyDescent="0.2">
      <c r="E66" s="33">
        <f t="shared" si="0"/>
        <v>335000</v>
      </c>
    </row>
    <row r="67" spans="5:5" x14ac:dyDescent="0.2">
      <c r="E67" s="33">
        <f t="shared" si="0"/>
        <v>340000</v>
      </c>
    </row>
    <row r="68" spans="5:5" x14ac:dyDescent="0.2">
      <c r="E68" s="33">
        <f t="shared" si="0"/>
        <v>345000</v>
      </c>
    </row>
    <row r="69" spans="5:5" x14ac:dyDescent="0.2">
      <c r="E69" s="33">
        <f t="shared" si="0"/>
        <v>350000</v>
      </c>
    </row>
    <row r="70" spans="5:5" x14ac:dyDescent="0.2">
      <c r="E70" s="33">
        <f t="shared" si="0"/>
        <v>355000</v>
      </c>
    </row>
    <row r="71" spans="5:5" x14ac:dyDescent="0.2">
      <c r="E71" s="33">
        <f t="shared" ref="E71:E79" si="2">+E70+5000</f>
        <v>360000</v>
      </c>
    </row>
    <row r="72" spans="5:5" x14ac:dyDescent="0.2">
      <c r="E72" s="33">
        <f t="shared" si="2"/>
        <v>365000</v>
      </c>
    </row>
    <row r="73" spans="5:5" x14ac:dyDescent="0.2">
      <c r="E73" s="33">
        <f t="shared" si="2"/>
        <v>370000</v>
      </c>
    </row>
    <row r="74" spans="5:5" x14ac:dyDescent="0.2">
      <c r="E74" s="33">
        <f t="shared" si="2"/>
        <v>375000</v>
      </c>
    </row>
    <row r="75" spans="5:5" x14ac:dyDescent="0.2">
      <c r="E75" s="33">
        <f t="shared" si="2"/>
        <v>380000</v>
      </c>
    </row>
    <row r="76" spans="5:5" x14ac:dyDescent="0.2">
      <c r="E76" s="33">
        <f t="shared" si="2"/>
        <v>385000</v>
      </c>
    </row>
    <row r="77" spans="5:5" x14ac:dyDescent="0.2">
      <c r="E77" s="33">
        <f t="shared" si="2"/>
        <v>390000</v>
      </c>
    </row>
    <row r="78" spans="5:5" x14ac:dyDescent="0.2">
      <c r="E78" s="33">
        <f t="shared" si="2"/>
        <v>395000</v>
      </c>
    </row>
    <row r="79" spans="5:5" x14ac:dyDescent="0.2">
      <c r="E79" s="33">
        <f t="shared" si="2"/>
        <v>400000</v>
      </c>
    </row>
    <row r="80" spans="5:5" x14ac:dyDescent="0.2">
      <c r="E80" s="33"/>
    </row>
    <row r="81" spans="5:5" x14ac:dyDescent="0.2">
      <c r="E81" s="33"/>
    </row>
    <row r="82" spans="5:5" x14ac:dyDescent="0.2">
      <c r="E82" s="33"/>
    </row>
    <row r="83" spans="5:5" x14ac:dyDescent="0.2">
      <c r="E83" s="33"/>
    </row>
    <row r="84" spans="5:5" x14ac:dyDescent="0.2">
      <c r="E84" s="33"/>
    </row>
    <row r="85" spans="5:5" x14ac:dyDescent="0.2">
      <c r="E85" s="33"/>
    </row>
    <row r="86" spans="5:5" x14ac:dyDescent="0.2">
      <c r="E86" s="33"/>
    </row>
    <row r="87" spans="5:5" x14ac:dyDescent="0.2">
      <c r="E87" s="33"/>
    </row>
    <row r="88" spans="5:5" x14ac:dyDescent="0.2">
      <c r="E88" s="33"/>
    </row>
    <row r="89" spans="5:5" x14ac:dyDescent="0.2">
      <c r="E89" s="33"/>
    </row>
    <row r="90" spans="5:5" x14ac:dyDescent="0.2">
      <c r="E90" s="33"/>
    </row>
    <row r="91" spans="5:5" x14ac:dyDescent="0.2">
      <c r="E91" s="33"/>
    </row>
    <row r="92" spans="5:5" x14ac:dyDescent="0.2">
      <c r="E92" s="33"/>
    </row>
    <row r="93" spans="5:5" x14ac:dyDescent="0.2">
      <c r="E93" s="33"/>
    </row>
    <row r="94" spans="5:5" x14ac:dyDescent="0.2">
      <c r="E94" s="33"/>
    </row>
    <row r="95" spans="5:5" x14ac:dyDescent="0.2">
      <c r="E95" s="33"/>
    </row>
    <row r="96" spans="5:5" x14ac:dyDescent="0.2">
      <c r="E96" s="33"/>
    </row>
    <row r="97" spans="5:5" x14ac:dyDescent="0.2">
      <c r="E97" s="33"/>
    </row>
    <row r="98" spans="5:5" x14ac:dyDescent="0.2">
      <c r="E98" s="33"/>
    </row>
    <row r="99" spans="5:5" x14ac:dyDescent="0.2">
      <c r="E99" s="33"/>
    </row>
    <row r="100" spans="5:5" x14ac:dyDescent="0.2">
      <c r="E100" s="33"/>
    </row>
    <row r="101" spans="5:5" x14ac:dyDescent="0.2">
      <c r="E101" s="33"/>
    </row>
    <row r="102" spans="5:5" x14ac:dyDescent="0.2">
      <c r="E102" s="33"/>
    </row>
    <row r="103" spans="5:5" x14ac:dyDescent="0.2">
      <c r="E103" s="33"/>
    </row>
    <row r="104" spans="5:5" x14ac:dyDescent="0.2">
      <c r="E104" s="33"/>
    </row>
    <row r="105" spans="5:5" x14ac:dyDescent="0.2">
      <c r="E105" s="33"/>
    </row>
    <row r="106" spans="5:5" x14ac:dyDescent="0.2">
      <c r="E106" s="33"/>
    </row>
    <row r="107" spans="5:5" x14ac:dyDescent="0.2">
      <c r="E107" s="33"/>
    </row>
    <row r="108" spans="5:5" x14ac:dyDescent="0.2">
      <c r="E108" s="33"/>
    </row>
    <row r="109" spans="5:5" x14ac:dyDescent="0.2">
      <c r="E109" s="33"/>
    </row>
    <row r="110" spans="5:5" x14ac:dyDescent="0.2">
      <c r="E110" s="33"/>
    </row>
    <row r="111" spans="5:5" x14ac:dyDescent="0.2">
      <c r="E111" s="33"/>
    </row>
    <row r="112" spans="5:5" x14ac:dyDescent="0.2">
      <c r="E112" s="33"/>
    </row>
    <row r="113" spans="5:5" x14ac:dyDescent="0.2">
      <c r="E113" s="33"/>
    </row>
    <row r="114" spans="5:5" x14ac:dyDescent="0.2">
      <c r="E114" s="33"/>
    </row>
    <row r="115" spans="5:5" x14ac:dyDescent="0.2">
      <c r="E115" s="33"/>
    </row>
    <row r="116" spans="5:5" x14ac:dyDescent="0.2">
      <c r="E116" s="33"/>
    </row>
    <row r="117" spans="5:5" x14ac:dyDescent="0.2">
      <c r="E117" s="33"/>
    </row>
    <row r="118" spans="5:5" x14ac:dyDescent="0.2">
      <c r="E118" s="33"/>
    </row>
    <row r="119" spans="5:5" x14ac:dyDescent="0.2">
      <c r="E119" s="33"/>
    </row>
    <row r="120" spans="5:5" x14ac:dyDescent="0.2">
      <c r="E120" s="33"/>
    </row>
    <row r="121" spans="5:5" x14ac:dyDescent="0.2">
      <c r="E121" s="33"/>
    </row>
    <row r="122" spans="5:5" x14ac:dyDescent="0.2">
      <c r="E122" s="33"/>
    </row>
    <row r="123" spans="5:5" x14ac:dyDescent="0.2">
      <c r="E123" s="33"/>
    </row>
    <row r="124" spans="5:5" x14ac:dyDescent="0.2">
      <c r="E124" s="33"/>
    </row>
    <row r="125" spans="5:5" x14ac:dyDescent="0.2">
      <c r="E125" s="33"/>
    </row>
    <row r="126" spans="5:5" x14ac:dyDescent="0.2">
      <c r="E126" s="33"/>
    </row>
    <row r="127" spans="5:5" x14ac:dyDescent="0.2">
      <c r="E127" s="33"/>
    </row>
    <row r="128" spans="5:5" x14ac:dyDescent="0.2">
      <c r="E128" s="33"/>
    </row>
    <row r="129" spans="5:5" x14ac:dyDescent="0.2">
      <c r="E129" s="33"/>
    </row>
    <row r="130" spans="5:5" x14ac:dyDescent="0.2">
      <c r="E130" s="33"/>
    </row>
    <row r="131" spans="5:5" x14ac:dyDescent="0.2">
      <c r="E131" s="33"/>
    </row>
    <row r="132" spans="5:5" x14ac:dyDescent="0.2">
      <c r="E132" s="33"/>
    </row>
    <row r="133" spans="5:5" x14ac:dyDescent="0.2">
      <c r="E133" s="33"/>
    </row>
    <row r="134" spans="5:5" x14ac:dyDescent="0.2">
      <c r="E134" s="33"/>
    </row>
    <row r="135" spans="5:5" x14ac:dyDescent="0.2">
      <c r="E135" s="33"/>
    </row>
    <row r="136" spans="5:5" x14ac:dyDescent="0.2">
      <c r="E136" s="33"/>
    </row>
    <row r="137" spans="5:5" x14ac:dyDescent="0.2">
      <c r="E137" s="33"/>
    </row>
    <row r="138" spans="5:5" x14ac:dyDescent="0.2">
      <c r="E138" s="33"/>
    </row>
    <row r="139" spans="5:5" x14ac:dyDescent="0.2">
      <c r="E139" s="33"/>
    </row>
    <row r="140" spans="5:5" x14ac:dyDescent="0.2">
      <c r="E140" s="33"/>
    </row>
    <row r="141" spans="5:5" x14ac:dyDescent="0.2">
      <c r="E141" s="33"/>
    </row>
    <row r="142" spans="5:5" x14ac:dyDescent="0.2">
      <c r="E142" s="33"/>
    </row>
    <row r="143" spans="5:5" x14ac:dyDescent="0.2">
      <c r="E143" s="33"/>
    </row>
    <row r="144" spans="5:5" x14ac:dyDescent="0.2">
      <c r="E144" s="33"/>
    </row>
    <row r="145" spans="5:5" x14ac:dyDescent="0.2">
      <c r="E145" s="33"/>
    </row>
    <row r="146" spans="5:5" x14ac:dyDescent="0.2">
      <c r="E146" s="33"/>
    </row>
    <row r="147" spans="5:5" x14ac:dyDescent="0.2">
      <c r="E147" s="33"/>
    </row>
    <row r="148" spans="5:5" x14ac:dyDescent="0.2">
      <c r="E148" s="33"/>
    </row>
    <row r="149" spans="5:5" x14ac:dyDescent="0.2">
      <c r="E149" s="33"/>
    </row>
    <row r="150" spans="5:5" x14ac:dyDescent="0.2">
      <c r="E150" s="33"/>
    </row>
    <row r="151" spans="5:5" x14ac:dyDescent="0.2">
      <c r="E151" s="33"/>
    </row>
    <row r="152" spans="5:5" x14ac:dyDescent="0.2">
      <c r="E152" s="33"/>
    </row>
    <row r="153" spans="5:5" x14ac:dyDescent="0.2">
      <c r="E153" s="33"/>
    </row>
    <row r="154" spans="5:5" x14ac:dyDescent="0.2">
      <c r="E154" s="33"/>
    </row>
    <row r="155" spans="5:5" x14ac:dyDescent="0.2">
      <c r="E155" s="33"/>
    </row>
    <row r="156" spans="5:5" x14ac:dyDescent="0.2">
      <c r="E156" s="33"/>
    </row>
    <row r="157" spans="5:5" x14ac:dyDescent="0.2">
      <c r="E157" s="33"/>
    </row>
    <row r="158" spans="5:5" x14ac:dyDescent="0.2">
      <c r="E158" s="33"/>
    </row>
    <row r="159" spans="5:5" x14ac:dyDescent="0.2">
      <c r="E159" s="33"/>
    </row>
    <row r="160" spans="5:5" x14ac:dyDescent="0.2">
      <c r="E160" s="33"/>
    </row>
    <row r="161" spans="5:5" x14ac:dyDescent="0.2">
      <c r="E161" s="33"/>
    </row>
    <row r="162" spans="5:5" x14ac:dyDescent="0.2">
      <c r="E162" s="33"/>
    </row>
    <row r="163" spans="5:5" x14ac:dyDescent="0.2">
      <c r="E163" s="33"/>
    </row>
    <row r="164" spans="5:5" x14ac:dyDescent="0.2">
      <c r="E164" s="33"/>
    </row>
    <row r="165" spans="5:5" x14ac:dyDescent="0.2">
      <c r="E165" s="33"/>
    </row>
    <row r="166" spans="5:5" x14ac:dyDescent="0.2">
      <c r="E166" s="33"/>
    </row>
    <row r="167" spans="5:5" x14ac:dyDescent="0.2">
      <c r="E167" s="33"/>
    </row>
    <row r="168" spans="5:5" x14ac:dyDescent="0.2">
      <c r="E168" s="33"/>
    </row>
    <row r="169" spans="5:5" x14ac:dyDescent="0.2">
      <c r="E169" s="33"/>
    </row>
    <row r="170" spans="5:5" x14ac:dyDescent="0.2">
      <c r="E170" s="33"/>
    </row>
    <row r="171" spans="5:5" x14ac:dyDescent="0.2">
      <c r="E171" s="33"/>
    </row>
    <row r="172" spans="5:5" x14ac:dyDescent="0.2">
      <c r="E172" s="33"/>
    </row>
    <row r="173" spans="5:5" x14ac:dyDescent="0.2">
      <c r="E173" s="33"/>
    </row>
    <row r="174" spans="5:5" x14ac:dyDescent="0.2">
      <c r="E174" s="33"/>
    </row>
    <row r="175" spans="5:5" x14ac:dyDescent="0.2">
      <c r="E175" s="33"/>
    </row>
    <row r="176" spans="5:5" x14ac:dyDescent="0.2">
      <c r="E176" s="33"/>
    </row>
    <row r="177" spans="5:5" x14ac:dyDescent="0.2">
      <c r="E177" s="33"/>
    </row>
    <row r="178" spans="5:5" x14ac:dyDescent="0.2">
      <c r="E178" s="33"/>
    </row>
    <row r="179" spans="5:5" x14ac:dyDescent="0.2">
      <c r="E179" s="33"/>
    </row>
    <row r="180" spans="5:5" x14ac:dyDescent="0.2">
      <c r="E180" s="33"/>
    </row>
    <row r="181" spans="5:5" x14ac:dyDescent="0.2">
      <c r="E181" s="33"/>
    </row>
    <row r="182" spans="5:5" x14ac:dyDescent="0.2">
      <c r="E182" s="33"/>
    </row>
    <row r="183" spans="5:5" x14ac:dyDescent="0.2">
      <c r="E183" s="33"/>
    </row>
    <row r="184" spans="5:5" x14ac:dyDescent="0.2">
      <c r="E184" s="33"/>
    </row>
    <row r="185" spans="5:5" x14ac:dyDescent="0.2">
      <c r="E185" s="33"/>
    </row>
    <row r="186" spans="5:5" x14ac:dyDescent="0.2">
      <c r="E186" s="33"/>
    </row>
    <row r="187" spans="5:5" x14ac:dyDescent="0.2">
      <c r="E187" s="33"/>
    </row>
    <row r="188" spans="5:5" x14ac:dyDescent="0.2">
      <c r="E188" s="33"/>
    </row>
    <row r="189" spans="5:5" x14ac:dyDescent="0.2">
      <c r="E189" s="33"/>
    </row>
    <row r="190" spans="5:5" x14ac:dyDescent="0.2">
      <c r="E190" s="33"/>
    </row>
    <row r="191" spans="5:5" x14ac:dyDescent="0.2">
      <c r="E191" s="33"/>
    </row>
    <row r="192" spans="5:5" x14ac:dyDescent="0.2">
      <c r="E192" s="33"/>
    </row>
    <row r="193" spans="5:5" x14ac:dyDescent="0.2">
      <c r="E193" s="33"/>
    </row>
    <row r="194" spans="5:5" x14ac:dyDescent="0.2">
      <c r="E194" s="33"/>
    </row>
    <row r="195" spans="5:5" x14ac:dyDescent="0.2">
      <c r="E195" s="33"/>
    </row>
    <row r="196" spans="5:5" x14ac:dyDescent="0.2">
      <c r="E196" s="33"/>
    </row>
    <row r="197" spans="5:5" x14ac:dyDescent="0.2">
      <c r="E197" s="33"/>
    </row>
    <row r="198" spans="5:5" x14ac:dyDescent="0.2">
      <c r="E198" s="33"/>
    </row>
    <row r="199" spans="5:5" x14ac:dyDescent="0.2">
      <c r="E199" s="33"/>
    </row>
    <row r="200" spans="5:5" x14ac:dyDescent="0.2">
      <c r="E200" s="33"/>
    </row>
    <row r="201" spans="5:5" x14ac:dyDescent="0.2">
      <c r="E201" s="33"/>
    </row>
    <row r="202" spans="5:5" x14ac:dyDescent="0.2">
      <c r="E202" s="33"/>
    </row>
    <row r="203" spans="5:5" x14ac:dyDescent="0.2">
      <c r="E203" s="33"/>
    </row>
    <row r="204" spans="5:5" x14ac:dyDescent="0.2">
      <c r="E204" s="33"/>
    </row>
    <row r="205" spans="5:5" x14ac:dyDescent="0.2">
      <c r="E205" s="33"/>
    </row>
    <row r="206" spans="5:5" x14ac:dyDescent="0.2">
      <c r="E206" s="33"/>
    </row>
    <row r="207" spans="5:5" x14ac:dyDescent="0.2">
      <c r="E207" s="33"/>
    </row>
    <row r="208" spans="5:5" x14ac:dyDescent="0.2">
      <c r="E208" s="33"/>
    </row>
    <row r="209" spans="5:5" x14ac:dyDescent="0.2">
      <c r="E209" s="33"/>
    </row>
    <row r="210" spans="5:5" x14ac:dyDescent="0.2">
      <c r="E210" s="33"/>
    </row>
    <row r="211" spans="5:5" x14ac:dyDescent="0.2">
      <c r="E211" s="33"/>
    </row>
    <row r="212" spans="5:5" x14ac:dyDescent="0.2">
      <c r="E212" s="33"/>
    </row>
    <row r="213" spans="5:5" x14ac:dyDescent="0.2">
      <c r="E213" s="33"/>
    </row>
    <row r="214" spans="5:5" x14ac:dyDescent="0.2">
      <c r="E214" s="33"/>
    </row>
    <row r="215" spans="5:5" x14ac:dyDescent="0.2">
      <c r="E215" s="33"/>
    </row>
    <row r="216" spans="5:5" x14ac:dyDescent="0.2">
      <c r="E216" s="33"/>
    </row>
    <row r="217" spans="5:5" x14ac:dyDescent="0.2">
      <c r="E217" s="33"/>
    </row>
    <row r="218" spans="5:5" x14ac:dyDescent="0.2">
      <c r="E218" s="33"/>
    </row>
    <row r="219" spans="5:5" x14ac:dyDescent="0.2">
      <c r="E219" s="33"/>
    </row>
    <row r="220" spans="5:5" x14ac:dyDescent="0.2">
      <c r="E220" s="33"/>
    </row>
    <row r="221" spans="5:5" x14ac:dyDescent="0.2">
      <c r="E221" s="33"/>
    </row>
    <row r="222" spans="5:5" x14ac:dyDescent="0.2">
      <c r="E222" s="33"/>
    </row>
    <row r="223" spans="5:5" x14ac:dyDescent="0.2">
      <c r="E223" s="33"/>
    </row>
    <row r="224" spans="5:5" x14ac:dyDescent="0.2">
      <c r="E224" s="33"/>
    </row>
    <row r="225" spans="5:5" x14ac:dyDescent="0.2">
      <c r="E225" s="33"/>
    </row>
    <row r="226" spans="5:5" x14ac:dyDescent="0.2">
      <c r="E226" s="33"/>
    </row>
    <row r="227" spans="5:5" x14ac:dyDescent="0.2">
      <c r="E227" s="33"/>
    </row>
    <row r="228" spans="5:5" x14ac:dyDescent="0.2">
      <c r="E228" s="33"/>
    </row>
    <row r="229" spans="5:5" x14ac:dyDescent="0.2">
      <c r="E229" s="33"/>
    </row>
    <row r="230" spans="5:5" x14ac:dyDescent="0.2">
      <c r="E230" s="33"/>
    </row>
    <row r="231" spans="5:5" x14ac:dyDescent="0.2">
      <c r="E231" s="33"/>
    </row>
    <row r="232" spans="5:5" x14ac:dyDescent="0.2">
      <c r="E232" s="33"/>
    </row>
    <row r="233" spans="5:5" x14ac:dyDescent="0.2">
      <c r="E233" s="33"/>
    </row>
    <row r="234" spans="5:5" x14ac:dyDescent="0.2">
      <c r="E234" s="33"/>
    </row>
    <row r="235" spans="5:5" x14ac:dyDescent="0.2">
      <c r="E235" s="33"/>
    </row>
    <row r="236" spans="5:5" x14ac:dyDescent="0.2">
      <c r="E236" s="33"/>
    </row>
    <row r="237" spans="5:5" x14ac:dyDescent="0.2">
      <c r="E237" s="33"/>
    </row>
    <row r="238" spans="5:5" x14ac:dyDescent="0.2">
      <c r="E238" s="33"/>
    </row>
    <row r="239" spans="5:5" x14ac:dyDescent="0.2">
      <c r="E239" s="33"/>
    </row>
    <row r="240" spans="5:5" x14ac:dyDescent="0.2">
      <c r="E240" s="33"/>
    </row>
    <row r="241" spans="5:5" x14ac:dyDescent="0.2">
      <c r="E241" s="33"/>
    </row>
    <row r="242" spans="5:5" x14ac:dyDescent="0.2">
      <c r="E242" s="33"/>
    </row>
    <row r="243" spans="5:5" x14ac:dyDescent="0.2">
      <c r="E243" s="33"/>
    </row>
    <row r="244" spans="5:5" x14ac:dyDescent="0.2">
      <c r="E244" s="33"/>
    </row>
    <row r="245" spans="5:5" x14ac:dyDescent="0.2">
      <c r="E245" s="33"/>
    </row>
    <row r="246" spans="5:5" x14ac:dyDescent="0.2">
      <c r="E246" s="33"/>
    </row>
    <row r="247" spans="5:5" x14ac:dyDescent="0.2">
      <c r="E247" s="33"/>
    </row>
    <row r="248" spans="5:5" x14ac:dyDescent="0.2">
      <c r="E248" s="33"/>
    </row>
    <row r="249" spans="5:5" x14ac:dyDescent="0.2">
      <c r="E249" s="33"/>
    </row>
    <row r="250" spans="5:5" x14ac:dyDescent="0.2">
      <c r="E250" s="33"/>
    </row>
    <row r="251" spans="5:5" x14ac:dyDescent="0.2">
      <c r="E251" s="33"/>
    </row>
    <row r="252" spans="5:5" x14ac:dyDescent="0.2">
      <c r="E252" s="33"/>
    </row>
    <row r="253" spans="5:5" x14ac:dyDescent="0.2">
      <c r="E253" s="33"/>
    </row>
    <row r="254" spans="5:5" x14ac:dyDescent="0.2">
      <c r="E254" s="33"/>
    </row>
    <row r="255" spans="5:5" x14ac:dyDescent="0.2">
      <c r="E255" s="33"/>
    </row>
    <row r="256" spans="5:5" x14ac:dyDescent="0.2">
      <c r="E256" s="33"/>
    </row>
    <row r="257" spans="5:5" x14ac:dyDescent="0.2">
      <c r="E257" s="33"/>
    </row>
    <row r="258" spans="5:5" x14ac:dyDescent="0.2">
      <c r="E258" s="33"/>
    </row>
    <row r="259" spans="5:5" x14ac:dyDescent="0.2">
      <c r="E259" s="33"/>
    </row>
    <row r="260" spans="5:5" x14ac:dyDescent="0.2">
      <c r="E260" s="33"/>
    </row>
    <row r="261" spans="5:5" x14ac:dyDescent="0.2">
      <c r="E261" s="33"/>
    </row>
    <row r="262" spans="5:5" x14ac:dyDescent="0.2">
      <c r="E262" s="33"/>
    </row>
    <row r="263" spans="5:5" x14ac:dyDescent="0.2">
      <c r="E263" s="33"/>
    </row>
    <row r="264" spans="5:5" x14ac:dyDescent="0.2">
      <c r="E264" s="33"/>
    </row>
    <row r="265" spans="5:5" x14ac:dyDescent="0.2">
      <c r="E265" s="33"/>
    </row>
    <row r="266" spans="5:5" x14ac:dyDescent="0.2">
      <c r="E266" s="33"/>
    </row>
    <row r="267" spans="5:5" x14ac:dyDescent="0.2">
      <c r="E267" s="33"/>
    </row>
    <row r="268" spans="5:5" x14ac:dyDescent="0.2">
      <c r="E268" s="33"/>
    </row>
    <row r="269" spans="5:5" x14ac:dyDescent="0.2">
      <c r="E269" s="33"/>
    </row>
  </sheetData>
  <mergeCells count="4">
    <mergeCell ref="B27:C27"/>
    <mergeCell ref="B19:C19"/>
    <mergeCell ref="B2:C2"/>
    <mergeCell ref="B4: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36"/>
  <sheetViews>
    <sheetView topLeftCell="A3" workbookViewId="0">
      <selection activeCell="C28" sqref="C28"/>
    </sheetView>
  </sheetViews>
  <sheetFormatPr baseColWidth="10" defaultColWidth="8.83203125" defaultRowHeight="15" x14ac:dyDescent="0.2"/>
  <cols>
    <col min="1" max="1" width="4.6640625" customWidth="1"/>
    <col min="2" max="2" width="17" customWidth="1"/>
    <col min="3" max="3" width="19.1640625" customWidth="1"/>
    <col min="4" max="4" width="13.6640625" customWidth="1"/>
    <col min="5" max="5" width="16.33203125" customWidth="1"/>
  </cols>
  <sheetData>
    <row r="2" spans="2:5" ht="19" x14ac:dyDescent="0.25">
      <c r="B2" s="66" t="s">
        <v>27</v>
      </c>
      <c r="C2" s="67"/>
      <c r="D2" s="67"/>
      <c r="E2" s="68"/>
    </row>
    <row r="3" spans="2:5" x14ac:dyDescent="0.2">
      <c r="B3" s="21"/>
      <c r="E3" s="23"/>
    </row>
    <row r="4" spans="2:5" x14ac:dyDescent="0.2">
      <c r="B4" s="58" t="s">
        <v>12</v>
      </c>
      <c r="C4" s="59"/>
      <c r="D4" s="2" t="s">
        <v>0</v>
      </c>
      <c r="E4" s="5" t="s">
        <v>1</v>
      </c>
    </row>
    <row r="5" spans="2:5" x14ac:dyDescent="0.2">
      <c r="B5" s="51" t="s">
        <v>28</v>
      </c>
      <c r="C5" s="52"/>
      <c r="D5" s="7"/>
      <c r="E5" s="14"/>
    </row>
    <row r="6" spans="2:5" x14ac:dyDescent="0.2">
      <c r="B6" s="49" t="s">
        <v>29</v>
      </c>
      <c r="C6" s="50"/>
      <c r="D6" s="6">
        <f>Inputs!C5</f>
        <v>0</v>
      </c>
      <c r="E6" s="11">
        <f>Inputs!C6</f>
        <v>0</v>
      </c>
    </row>
    <row r="7" spans="2:5" x14ac:dyDescent="0.2">
      <c r="B7" s="49" t="s">
        <v>30</v>
      </c>
      <c r="C7" s="50"/>
      <c r="D7" s="6">
        <f>Inputs!C5*Inputs!C7</f>
        <v>0</v>
      </c>
      <c r="E7" s="11">
        <v>0</v>
      </c>
    </row>
    <row r="8" spans="2:5" x14ac:dyDescent="0.2">
      <c r="B8" s="49" t="s">
        <v>43</v>
      </c>
      <c r="C8" s="50"/>
      <c r="D8" s="6">
        <f>Inputs!C10</f>
        <v>0</v>
      </c>
      <c r="E8" s="11">
        <f>Inputs!C11</f>
        <v>0</v>
      </c>
    </row>
    <row r="9" spans="2:5" x14ac:dyDescent="0.2">
      <c r="B9" s="49" t="s">
        <v>51</v>
      </c>
      <c r="C9" s="50"/>
      <c r="D9" s="6">
        <f>ROUND(Inputs!C5*(1-Inputs!C16)*MIN(Inputs!C14,12-Inputs!C8)/12,0)</f>
        <v>0</v>
      </c>
      <c r="E9" s="11">
        <f>ROUND(Inputs!C6*(1-Inputs!C17)*MIN(Inputs!C15,12-Inputs!C8)/12,0)</f>
        <v>0</v>
      </c>
    </row>
    <row r="10" spans="2:5" x14ac:dyDescent="0.2">
      <c r="B10" s="56" t="s">
        <v>31</v>
      </c>
      <c r="C10" s="57"/>
      <c r="D10" s="15">
        <f>SUM(D6:D9)</f>
        <v>0</v>
      </c>
      <c r="E10" s="16">
        <f>SUM(E6:E9)</f>
        <v>0</v>
      </c>
    </row>
    <row r="11" spans="2:5" x14ac:dyDescent="0.2">
      <c r="B11" s="21"/>
      <c r="E11" s="23"/>
    </row>
    <row r="12" spans="2:5" x14ac:dyDescent="0.2">
      <c r="B12" s="51" t="s">
        <v>65</v>
      </c>
      <c r="C12" s="52"/>
      <c r="D12" s="7"/>
      <c r="E12" s="14"/>
    </row>
    <row r="13" spans="2:5" x14ac:dyDescent="0.2">
      <c r="B13" s="49" t="s">
        <v>66</v>
      </c>
      <c r="C13" s="50"/>
      <c r="D13" s="6"/>
      <c r="E13" s="11">
        <f>-(Inputs!C6-Inputs!C20)</f>
        <v>0</v>
      </c>
    </row>
    <row r="14" spans="2:5" x14ac:dyDescent="0.2">
      <c r="B14" s="49" t="s">
        <v>32</v>
      </c>
      <c r="C14" s="50"/>
      <c r="D14" s="6"/>
      <c r="E14" s="11">
        <f>Inputs!C20*Inputs!C21</f>
        <v>0</v>
      </c>
    </row>
    <row r="15" spans="2:5" x14ac:dyDescent="0.2">
      <c r="B15" s="49" t="s">
        <v>52</v>
      </c>
      <c r="C15" s="50"/>
      <c r="D15" s="6"/>
      <c r="E15" s="11">
        <f>Inputs!C22</f>
        <v>0</v>
      </c>
    </row>
    <row r="16" spans="2:5" x14ac:dyDescent="0.2">
      <c r="B16" s="49" t="s">
        <v>53</v>
      </c>
      <c r="C16" s="50"/>
      <c r="D16" s="6"/>
      <c r="E16" s="11">
        <f>ROUND(Inputs!C20*(1-Inputs!C25)*MIN(Inputs!C24,12-Inputs!C8)/12,0)</f>
        <v>0</v>
      </c>
    </row>
    <row r="17" spans="2:5" x14ac:dyDescent="0.2">
      <c r="B17" s="56" t="s">
        <v>33</v>
      </c>
      <c r="C17" s="57"/>
      <c r="D17" s="15"/>
      <c r="E17" s="16">
        <f>SUM(E13:E16)</f>
        <v>0</v>
      </c>
    </row>
    <row r="18" spans="2:5" x14ac:dyDescent="0.2">
      <c r="B18" s="21"/>
      <c r="E18" s="23"/>
    </row>
    <row r="19" spans="2:5" x14ac:dyDescent="0.2">
      <c r="B19" s="75" t="s">
        <v>10</v>
      </c>
      <c r="C19" s="76"/>
      <c r="D19" s="9">
        <f>D10+D17</f>
        <v>0</v>
      </c>
      <c r="E19" s="17">
        <f>E10+E17</f>
        <v>0</v>
      </c>
    </row>
    <row r="20" spans="2:5" x14ac:dyDescent="0.2">
      <c r="B20" s="49" t="s">
        <v>11</v>
      </c>
      <c r="C20" s="50"/>
      <c r="D20" s="15">
        <f>D19-E19</f>
        <v>0</v>
      </c>
      <c r="E20" s="23"/>
    </row>
    <row r="21" spans="2:5" x14ac:dyDescent="0.2">
      <c r="B21" s="21"/>
      <c r="E21" s="23"/>
    </row>
    <row r="22" spans="2:5" x14ac:dyDescent="0.2">
      <c r="B22" s="58" t="s">
        <v>13</v>
      </c>
      <c r="C22" s="59"/>
      <c r="D22" s="2" t="s">
        <v>0</v>
      </c>
      <c r="E22" s="5" t="s">
        <v>1</v>
      </c>
    </row>
    <row r="23" spans="2:5" x14ac:dyDescent="0.2">
      <c r="B23" s="51" t="s">
        <v>34</v>
      </c>
      <c r="C23" s="52"/>
      <c r="D23" s="7"/>
      <c r="E23" s="14"/>
    </row>
    <row r="24" spans="2:5" x14ac:dyDescent="0.2">
      <c r="B24" s="49" t="s">
        <v>35</v>
      </c>
      <c r="C24" s="50"/>
      <c r="D24" s="6">
        <f>Inputs!C5*(1+Inputs!C28)</f>
        <v>0</v>
      </c>
      <c r="E24" s="11">
        <f>Inputs!C6*(1+Inputs!C28)</f>
        <v>0</v>
      </c>
    </row>
    <row r="25" spans="2:5" x14ac:dyDescent="0.2">
      <c r="B25" s="49" t="s">
        <v>44</v>
      </c>
      <c r="C25" s="50"/>
      <c r="D25" s="6">
        <f>Inputs!C12</f>
        <v>0</v>
      </c>
      <c r="E25" s="11">
        <f>Inputs!C13</f>
        <v>0</v>
      </c>
    </row>
    <row r="26" spans="2:5" x14ac:dyDescent="0.2">
      <c r="B26" s="49" t="s">
        <v>59</v>
      </c>
      <c r="C26" s="50"/>
      <c r="D26" s="6">
        <f>ROUND(IF((Inputs!C8+Inputs!C14)&gt;12, Inputs!C5*(1-Inputs!C16)*((Inputs!C8+Inputs!C14)-12)/12, 0),0)</f>
        <v>0</v>
      </c>
      <c r="E26" s="11">
        <f>ROUND(IF((Inputs!C8+Inputs!C15)&gt;12, Inputs!C6*(1-Inputs!C17)*((Inputs!C8+Inputs!C15)-12)/12, 0),0)</f>
        <v>0</v>
      </c>
    </row>
    <row r="27" spans="2:5" x14ac:dyDescent="0.2">
      <c r="B27" s="56" t="s">
        <v>31</v>
      </c>
      <c r="C27" s="57"/>
      <c r="D27" s="15">
        <f>SUM(D24:D26)</f>
        <v>0</v>
      </c>
      <c r="E27" s="16">
        <f>SUM(E24:E26)</f>
        <v>0</v>
      </c>
    </row>
    <row r="28" spans="2:5" x14ac:dyDescent="0.2">
      <c r="B28" s="21"/>
      <c r="E28" s="23"/>
    </row>
    <row r="29" spans="2:5" x14ac:dyDescent="0.2">
      <c r="B29" s="51" t="s">
        <v>36</v>
      </c>
      <c r="C29" s="52"/>
      <c r="D29" s="7"/>
      <c r="E29" s="14"/>
    </row>
    <row r="30" spans="2:5" x14ac:dyDescent="0.2">
      <c r="B30" s="49" t="s">
        <v>67</v>
      </c>
      <c r="C30" s="50"/>
      <c r="D30" s="6">
        <v>0</v>
      </c>
      <c r="E30" s="11">
        <f>-(Inputs!C6*(1+Inputs!C28) - Inputs!C20*(1+Inputs!C29))</f>
        <v>0</v>
      </c>
    </row>
    <row r="31" spans="2:5" x14ac:dyDescent="0.2">
      <c r="B31" s="49" t="s">
        <v>54</v>
      </c>
      <c r="C31" s="50"/>
      <c r="D31" s="6">
        <v>0</v>
      </c>
      <c r="E31" s="11">
        <f>Inputs!C23</f>
        <v>0</v>
      </c>
    </row>
    <row r="32" spans="2:5" x14ac:dyDescent="0.2">
      <c r="B32" s="49" t="s">
        <v>60</v>
      </c>
      <c r="C32" s="50"/>
      <c r="D32" s="6">
        <v>0</v>
      </c>
      <c r="E32" s="11">
        <f>ROUND(IF((Inputs!C8+Inputs!C24)&gt;12, Inputs!C20*(1-Inputs!C25)*((Inputs!C8+Inputs!C24)-12)/12, 0),0)</f>
        <v>0</v>
      </c>
    </row>
    <row r="33" spans="2:5" x14ac:dyDescent="0.2">
      <c r="B33" s="56" t="s">
        <v>33</v>
      </c>
      <c r="C33" s="57"/>
      <c r="D33" s="15">
        <f>SUM(D30:D32)</f>
        <v>0</v>
      </c>
      <c r="E33" s="16">
        <f>SUM(E30:E32)</f>
        <v>0</v>
      </c>
    </row>
    <row r="34" spans="2:5" x14ac:dyDescent="0.2">
      <c r="B34" s="21"/>
      <c r="E34" s="23"/>
    </row>
    <row r="35" spans="2:5" x14ac:dyDescent="0.2">
      <c r="B35" s="75" t="s">
        <v>14</v>
      </c>
      <c r="C35" s="76"/>
      <c r="D35" s="9">
        <f>D27+D33</f>
        <v>0</v>
      </c>
      <c r="E35" s="17">
        <f>E27+E33</f>
        <v>0</v>
      </c>
    </row>
    <row r="36" spans="2:5" x14ac:dyDescent="0.2">
      <c r="B36" s="73" t="s">
        <v>20</v>
      </c>
      <c r="C36" s="74"/>
      <c r="D36" s="30">
        <f>D35-E35</f>
        <v>0</v>
      </c>
      <c r="E36" s="24"/>
    </row>
  </sheetData>
  <mergeCells count="29">
    <mergeCell ref="B5:C5"/>
    <mergeCell ref="B6:C6"/>
    <mergeCell ref="B7:C7"/>
    <mergeCell ref="B2:E2"/>
    <mergeCell ref="B4:C4"/>
    <mergeCell ref="B16:C16"/>
    <mergeCell ref="B8:C8"/>
    <mergeCell ref="B9:C9"/>
    <mergeCell ref="B10:C10"/>
    <mergeCell ref="B12:C12"/>
    <mergeCell ref="B13:C13"/>
    <mergeCell ref="B14:C14"/>
    <mergeCell ref="B15:C15"/>
    <mergeCell ref="B20:C20"/>
    <mergeCell ref="B22:C22"/>
    <mergeCell ref="B23:C23"/>
    <mergeCell ref="B17:C17"/>
    <mergeCell ref="B19:C19"/>
    <mergeCell ref="B36:C36"/>
    <mergeCell ref="B24:C24"/>
    <mergeCell ref="B25:C25"/>
    <mergeCell ref="B26:C26"/>
    <mergeCell ref="B27:C27"/>
    <mergeCell ref="B29:C29"/>
    <mergeCell ref="B30:C30"/>
    <mergeCell ref="B31:C31"/>
    <mergeCell ref="B32:C32"/>
    <mergeCell ref="B33:C33"/>
    <mergeCell ref="B35:C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Hire or Develop Calculator</vt:lpstr>
      <vt:lpstr>Inputs</vt:lpstr>
      <vt:lpstr>Detailed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Miller</dc:creator>
  <cp:lastModifiedBy>Gina Mazza</cp:lastModifiedBy>
  <dcterms:created xsi:type="dcterms:W3CDTF">2026-04-10T19:15:43Z</dcterms:created>
  <dcterms:modified xsi:type="dcterms:W3CDTF">2026-06-23T22:49:13Z</dcterms:modified>
</cp:coreProperties>
</file>